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285" yWindow="30" windowWidth="7965" windowHeight="9615" tabRatio="857" activeTab="1"/>
  </bookViews>
  <sheets>
    <sheet name="Anleitung" sheetId="47" r:id="rId1"/>
    <sheet name="Platzierung" sheetId="27" r:id="rId2"/>
    <sheet name="Spielplan" sheetId="25" r:id="rId3"/>
    <sheet name="Kontrollbogen" sheetId="46" r:id="rId4"/>
    <sheet name="Spielkarten" sheetId="39" r:id="rId5"/>
    <sheet name="1.Platz" sheetId="28" r:id="rId6"/>
    <sheet name="2.Platz" sheetId="29" r:id="rId7"/>
    <sheet name="3.Platz" sheetId="30" r:id="rId8"/>
    <sheet name="4.Platz" sheetId="31" r:id="rId9"/>
    <sheet name="5.Platz" sheetId="32" r:id="rId10"/>
    <sheet name="6.Platz" sheetId="33" r:id="rId11"/>
    <sheet name="7.Platz" sheetId="34" r:id="rId12"/>
  </sheets>
  <definedNames>
    <definedName name="_xlnm.Print_Area" localSheetId="1">Platzierung!$A$1:$P$23</definedName>
    <definedName name="_xlnm.Print_Area" localSheetId="4">Spielkarten!$A:$AR</definedName>
    <definedName name="_xlnm.Print_Area" localSheetId="2">Spielplan!$C$1:$AF$68</definedName>
    <definedName name="_xlnm.Print_Titles" localSheetId="2">Spielplan!$1:$3</definedName>
    <definedName name="Spielplan">Spielplan!$A$6:$J$67</definedName>
    <definedName name="Tabelle">Platzierung!$S$16:$AI$22</definedName>
  </definedNames>
  <calcPr calcId="162913"/>
</workbook>
</file>

<file path=xl/calcChain.xml><?xml version="1.0" encoding="utf-8"?>
<calcChain xmlns="http://schemas.openxmlformats.org/spreadsheetml/2006/main">
  <c r="F33" i="28" l="1"/>
  <c r="D33" i="28"/>
  <c r="A30" i="28"/>
  <c r="E39" i="28"/>
  <c r="A21" i="28"/>
  <c r="A19" i="28"/>
  <c r="Y7" i="25"/>
  <c r="U7" i="25"/>
  <c r="Y11" i="25"/>
  <c r="Y18" i="25"/>
  <c r="Y22" i="25"/>
  <c r="U22" i="25" s="1"/>
  <c r="Y29" i="25"/>
  <c r="U29" i="25" s="1"/>
  <c r="Y35" i="25"/>
  <c r="U35" i="25" s="1"/>
  <c r="AA41" i="25"/>
  <c r="W41" i="25" s="1"/>
  <c r="AA44" i="25"/>
  <c r="W44" i="25" s="1"/>
  <c r="AA49" i="25"/>
  <c r="AA53" i="25"/>
  <c r="W53" i="25" s="1"/>
  <c r="AA58" i="25"/>
  <c r="W58" i="25" s="1"/>
  <c r="AA61" i="25"/>
  <c r="W61" i="25" s="1"/>
  <c r="AA7" i="25"/>
  <c r="Y12" i="25"/>
  <c r="U12" i="25" s="1"/>
  <c r="Y14" i="25"/>
  <c r="Y19" i="25"/>
  <c r="U19" i="25" s="1"/>
  <c r="Y30" i="25"/>
  <c r="U30" i="25" s="1"/>
  <c r="Y33" i="25"/>
  <c r="U33" i="25" s="1"/>
  <c r="AA38" i="25"/>
  <c r="W38" i="25" s="1"/>
  <c r="AA42" i="25"/>
  <c r="W42" i="25" s="1"/>
  <c r="Y49" i="25"/>
  <c r="U49" i="25" s="1"/>
  <c r="AA54" i="25"/>
  <c r="W54" i="25" s="1"/>
  <c r="AA59" i="25"/>
  <c r="W59" i="25"/>
  <c r="AA65" i="25"/>
  <c r="W65" i="25" s="1"/>
  <c r="AA11" i="25"/>
  <c r="AA18" i="25"/>
  <c r="W18" i="25"/>
  <c r="AA22" i="25"/>
  <c r="W22" i="25" s="1"/>
  <c r="AA29" i="25"/>
  <c r="W29" i="25"/>
  <c r="AA35" i="25"/>
  <c r="W35" i="25" s="1"/>
  <c r="Y41" i="25"/>
  <c r="U41" i="25"/>
  <c r="Y44" i="25"/>
  <c r="U44" i="25" s="1"/>
  <c r="Y53" i="25"/>
  <c r="U53" i="25"/>
  <c r="Y58" i="25"/>
  <c r="U58" i="25" s="1"/>
  <c r="Y61" i="25"/>
  <c r="U61" i="25"/>
  <c r="AA12" i="25"/>
  <c r="W12" i="25" s="1"/>
  <c r="AA14" i="25"/>
  <c r="W14" i="25"/>
  <c r="AA19" i="25"/>
  <c r="W19" i="25" s="1"/>
  <c r="AA30" i="25"/>
  <c r="W30" i="25"/>
  <c r="AA33" i="25"/>
  <c r="W33" i="25" s="1"/>
  <c r="Y38" i="25"/>
  <c r="U38" i="25"/>
  <c r="Y42" i="25"/>
  <c r="U42" i="25" s="1"/>
  <c r="Y54" i="25"/>
  <c r="U54" i="25"/>
  <c r="Y59" i="25"/>
  <c r="U59" i="25" s="1"/>
  <c r="Y65" i="25"/>
  <c r="U65" i="25"/>
  <c r="AD7" i="25"/>
  <c r="AD11" i="25"/>
  <c r="AD18" i="25"/>
  <c r="AD22" i="25"/>
  <c r="AD29" i="25"/>
  <c r="AD35" i="25"/>
  <c r="AF41" i="25"/>
  <c r="AF44" i="25"/>
  <c r="AF49" i="25"/>
  <c r="AF53" i="25"/>
  <c r="AF58" i="25"/>
  <c r="AF61" i="25"/>
  <c r="AF7" i="25"/>
  <c r="AF11" i="25"/>
  <c r="AF18" i="25"/>
  <c r="AF22" i="25"/>
  <c r="AG16" i="27" s="1"/>
  <c r="AF29" i="25"/>
  <c r="AF35" i="25"/>
  <c r="AD41" i="25"/>
  <c r="AD44" i="25"/>
  <c r="AD49" i="25"/>
  <c r="AD53" i="25"/>
  <c r="AD58" i="25"/>
  <c r="AD61" i="25"/>
  <c r="AD12" i="25"/>
  <c r="AD14" i="25"/>
  <c r="AD19" i="25"/>
  <c r="AD30" i="25"/>
  <c r="AD33" i="25"/>
  <c r="AF38" i="25"/>
  <c r="AF42" i="25"/>
  <c r="AF54" i="25"/>
  <c r="AF59" i="25"/>
  <c r="AF65" i="25"/>
  <c r="AF12" i="25"/>
  <c r="AF14" i="25"/>
  <c r="AF19" i="25"/>
  <c r="AF30" i="25"/>
  <c r="AF33" i="25"/>
  <c r="AD38" i="25"/>
  <c r="AD42" i="25"/>
  <c r="AD54" i="25"/>
  <c r="AD59" i="25"/>
  <c r="AD65" i="25"/>
  <c r="Y9" i="25"/>
  <c r="Y17" i="25"/>
  <c r="U17" i="25" s="1"/>
  <c r="Y23" i="25"/>
  <c r="U23" i="25" s="1"/>
  <c r="Y32" i="25"/>
  <c r="U32" i="25" s="1"/>
  <c r="AA39" i="25"/>
  <c r="W39" i="25" s="1"/>
  <c r="AA43" i="25"/>
  <c r="W43" i="25" s="1"/>
  <c r="AA51" i="25"/>
  <c r="W51" i="25" s="1"/>
  <c r="AA57" i="25"/>
  <c r="W57" i="25" s="1"/>
  <c r="AA9" i="25"/>
  <c r="AA17" i="25"/>
  <c r="W17" i="25"/>
  <c r="AA23" i="25"/>
  <c r="W23" i="25" s="1"/>
  <c r="AA32" i="25"/>
  <c r="W32" i="25"/>
  <c r="Y39" i="25"/>
  <c r="U39" i="25" s="1"/>
  <c r="Y43" i="25"/>
  <c r="U43" i="25" s="1"/>
  <c r="Y51" i="25"/>
  <c r="U51" i="25"/>
  <c r="Y57" i="25"/>
  <c r="U57" i="25" s="1"/>
  <c r="AD9" i="25"/>
  <c r="AD17" i="25"/>
  <c r="AD23" i="25"/>
  <c r="AD32" i="25"/>
  <c r="AF39" i="25"/>
  <c r="AF43" i="25"/>
  <c r="AF51" i="25"/>
  <c r="AF57" i="25"/>
  <c r="AF9" i="25"/>
  <c r="AF17" i="25"/>
  <c r="AF23" i="25"/>
  <c r="AF32" i="25"/>
  <c r="AD39" i="25"/>
  <c r="AD43" i="25"/>
  <c r="AD51" i="25"/>
  <c r="AD57" i="25"/>
  <c r="Y8" i="25"/>
  <c r="Y13" i="25"/>
  <c r="U13" i="25" s="1"/>
  <c r="Y34" i="25"/>
  <c r="U34" i="25" s="1"/>
  <c r="AA37" i="25"/>
  <c r="W37" i="25" s="1"/>
  <c r="AA55" i="25"/>
  <c r="W55" i="25" s="1"/>
  <c r="AA64" i="25"/>
  <c r="W64" i="25" s="1"/>
  <c r="AA8" i="25"/>
  <c r="AA13" i="25"/>
  <c r="AA34" i="25"/>
  <c r="W34" i="25" s="1"/>
  <c r="Y37" i="25"/>
  <c r="U37" i="25" s="1"/>
  <c r="Y55" i="25"/>
  <c r="U55" i="25" s="1"/>
  <c r="Y64" i="25"/>
  <c r="U64" i="25" s="1"/>
  <c r="AD8" i="25"/>
  <c r="AD13" i="25"/>
  <c r="AD34" i="25"/>
  <c r="AF37" i="25"/>
  <c r="AF55" i="25"/>
  <c r="AF64" i="25"/>
  <c r="AF8" i="25"/>
  <c r="AF13" i="25"/>
  <c r="AF34" i="25"/>
  <c r="AD37" i="25"/>
  <c r="AD55" i="25"/>
  <c r="AD64" i="25"/>
  <c r="Y15" i="25"/>
  <c r="Y21" i="25"/>
  <c r="U21" i="25" s="1"/>
  <c r="AA60" i="25"/>
  <c r="W60" i="25" s="1"/>
  <c r="AA63" i="25"/>
  <c r="W63" i="25" s="1"/>
  <c r="AA15" i="25"/>
  <c r="AA21" i="25"/>
  <c r="W21" i="25" s="1"/>
  <c r="Y60" i="25"/>
  <c r="U60" i="25" s="1"/>
  <c r="Y63" i="25"/>
  <c r="U63" i="25" s="1"/>
  <c r="AD15" i="25"/>
  <c r="AD21" i="25"/>
  <c r="AF60" i="25"/>
  <c r="AF63" i="25"/>
  <c r="AF15" i="25"/>
  <c r="AF21" i="25"/>
  <c r="AD60" i="25"/>
  <c r="AD63" i="25"/>
  <c r="Y31" i="25"/>
  <c r="U31" i="25" s="1"/>
  <c r="AA50" i="25"/>
  <c r="W50" i="25" s="1"/>
  <c r="AA31" i="25"/>
  <c r="W31" i="25" s="1"/>
  <c r="Y50" i="25"/>
  <c r="U50" i="25" s="1"/>
  <c r="AD31" i="25"/>
  <c r="AF50" i="25"/>
  <c r="AF31" i="25"/>
  <c r="AD50" i="25"/>
  <c r="BD16" i="27"/>
  <c r="BD17" i="27"/>
  <c r="BD18" i="27"/>
  <c r="BD19" i="27"/>
  <c r="BD20" i="27"/>
  <c r="BD21" i="27"/>
  <c r="BD22" i="27"/>
  <c r="F33" i="29"/>
  <c r="D33" i="29"/>
  <c r="A31" i="29"/>
  <c r="E39" i="29"/>
  <c r="A21" i="29"/>
  <c r="A19" i="29"/>
  <c r="F33" i="30"/>
  <c r="D33" i="30"/>
  <c r="E39" i="30"/>
  <c r="A21" i="30"/>
  <c r="A19" i="30"/>
  <c r="F33" i="31"/>
  <c r="D33" i="31"/>
  <c r="E39" i="31"/>
  <c r="A21" i="31"/>
  <c r="A19" i="31"/>
  <c r="F33" i="32"/>
  <c r="D33" i="32"/>
  <c r="E39" i="32"/>
  <c r="A21" i="32"/>
  <c r="A19" i="32"/>
  <c r="F33" i="33"/>
  <c r="D33" i="33"/>
  <c r="E39" i="33"/>
  <c r="A21" i="33"/>
  <c r="A19" i="33"/>
  <c r="F33" i="34"/>
  <c r="D33" i="34"/>
  <c r="E39" i="34"/>
  <c r="A21" i="34"/>
  <c r="A19" i="34"/>
  <c r="I9" i="46"/>
  <c r="D2" i="46"/>
  <c r="A17" i="46"/>
  <c r="A18" i="46"/>
  <c r="A19" i="46"/>
  <c r="A15" i="46"/>
  <c r="A16" i="46"/>
  <c r="A14" i="46"/>
  <c r="A13" i="46"/>
  <c r="U11" i="27"/>
  <c r="A4" i="27"/>
  <c r="A2" i="27"/>
  <c r="K9" i="27"/>
  <c r="AU12" i="39"/>
  <c r="AU24" i="39"/>
  <c r="AU23" i="39"/>
  <c r="AU22" i="39"/>
  <c r="AU21" i="39"/>
  <c r="AU20" i="39"/>
  <c r="AU19" i="39"/>
  <c r="AU18" i="39"/>
  <c r="AU17" i="39"/>
  <c r="AU16" i="39"/>
  <c r="AU15" i="39"/>
  <c r="AU14" i="39"/>
  <c r="AU13" i="39"/>
  <c r="AU25" i="39"/>
  <c r="AU26" i="39"/>
  <c r="AU27" i="39"/>
  <c r="AU28" i="39"/>
  <c r="Y37" i="39"/>
  <c r="AM140" i="39"/>
  <c r="AM138" i="39"/>
  <c r="Y138" i="39"/>
  <c r="AM136" i="39"/>
  <c r="Y136" i="39"/>
  <c r="AM173" i="39"/>
  <c r="AM171" i="39"/>
  <c r="Y171" i="39"/>
  <c r="AM169" i="39"/>
  <c r="Y169" i="39"/>
  <c r="AM206" i="39"/>
  <c r="AM204" i="39"/>
  <c r="Y204" i="39"/>
  <c r="AM202" i="39"/>
  <c r="Y202" i="39"/>
  <c r="AM239" i="39"/>
  <c r="AM237" i="39"/>
  <c r="Y237" i="39"/>
  <c r="AM235" i="39"/>
  <c r="Y235" i="39"/>
  <c r="AM272" i="39"/>
  <c r="AM270" i="39"/>
  <c r="Y270" i="39"/>
  <c r="AM268" i="39"/>
  <c r="Y268" i="39"/>
  <c r="AM305" i="39"/>
  <c r="AM303" i="39"/>
  <c r="Y303" i="39"/>
  <c r="AM301" i="39"/>
  <c r="Y301" i="39"/>
  <c r="AM338" i="39"/>
  <c r="AM336" i="39"/>
  <c r="Y336" i="39"/>
  <c r="AM334" i="39"/>
  <c r="Y334" i="39"/>
  <c r="AM371" i="39"/>
  <c r="AM369" i="39"/>
  <c r="Y369" i="39"/>
  <c r="AM367" i="39"/>
  <c r="Y367" i="39"/>
  <c r="AM404" i="39"/>
  <c r="AM402" i="39"/>
  <c r="Y402" i="39"/>
  <c r="AM400" i="39"/>
  <c r="Y400" i="39"/>
  <c r="AM437" i="39"/>
  <c r="AM435" i="39"/>
  <c r="Y435" i="39"/>
  <c r="AM433" i="39"/>
  <c r="Y433" i="39"/>
  <c r="AM471" i="39"/>
  <c r="AM469" i="39"/>
  <c r="Y469" i="39"/>
  <c r="AM467" i="39"/>
  <c r="Y467" i="39"/>
  <c r="AM505" i="39"/>
  <c r="AM503" i="39"/>
  <c r="Y503" i="39"/>
  <c r="AM501" i="39"/>
  <c r="Y501" i="39"/>
  <c r="AM539" i="39"/>
  <c r="AM537" i="39"/>
  <c r="Y537" i="39"/>
  <c r="AM535" i="39"/>
  <c r="Y535" i="39"/>
  <c r="AM573" i="39"/>
  <c r="AM571" i="39"/>
  <c r="Y571" i="39"/>
  <c r="AM569" i="39"/>
  <c r="Y569" i="39"/>
  <c r="AM107" i="39"/>
  <c r="AM105" i="39"/>
  <c r="Y105" i="39"/>
  <c r="AM103" i="39"/>
  <c r="Y103" i="39"/>
  <c r="AM8" i="39"/>
  <c r="AM6" i="39"/>
  <c r="Y6" i="39"/>
  <c r="AM4" i="39"/>
  <c r="Y4" i="39"/>
  <c r="Y39" i="39"/>
  <c r="Y72" i="39"/>
  <c r="Y70" i="39"/>
  <c r="AM41" i="39"/>
  <c r="AM39" i="39"/>
  <c r="AM37" i="39"/>
  <c r="AM74" i="39"/>
  <c r="AM72" i="39"/>
  <c r="AM70" i="39"/>
  <c r="I4" i="25"/>
  <c r="B12" i="25" s="1"/>
  <c r="Y140" i="39" s="1"/>
  <c r="Y471" i="39"/>
  <c r="Y505" i="39"/>
  <c r="Y539" i="39"/>
  <c r="Y573" i="39"/>
  <c r="C7" i="25"/>
  <c r="C9" i="25" s="1"/>
  <c r="AM2" i="39"/>
  <c r="B9" i="25"/>
  <c r="Y74" i="39" s="1"/>
  <c r="AM465" i="39"/>
  <c r="AM499" i="39"/>
  <c r="AM533" i="39"/>
  <c r="AM567" i="39"/>
  <c r="G18" i="25"/>
  <c r="D309" i="39" s="1"/>
  <c r="D475" i="39"/>
  <c r="J23" i="25"/>
  <c r="D437" i="39"/>
  <c r="J13" i="25"/>
  <c r="D173" i="39" s="1"/>
  <c r="G11" i="25"/>
  <c r="D111" i="39"/>
  <c r="G7" i="25"/>
  <c r="D12" i="39" s="1"/>
  <c r="G22" i="25"/>
  <c r="D408" i="39" s="1"/>
  <c r="G14" i="25"/>
  <c r="D210" i="39" s="1"/>
  <c r="G19" i="25"/>
  <c r="D342" i="39"/>
  <c r="J18" i="25"/>
  <c r="D305" i="39" s="1"/>
  <c r="G12" i="25"/>
  <c r="D144" i="39"/>
  <c r="D509" i="39"/>
  <c r="D539" i="39"/>
  <c r="I7" i="25"/>
  <c r="S12" i="39"/>
  <c r="J21" i="25"/>
  <c r="D371" i="39" s="1"/>
  <c r="G23" i="25"/>
  <c r="D441" i="39" s="1"/>
  <c r="I14" i="25"/>
  <c r="S210" i="39"/>
  <c r="J22" i="25"/>
  <c r="D404" i="39"/>
  <c r="D471" i="39"/>
  <c r="J7" i="25"/>
  <c r="D8" i="39" s="1"/>
  <c r="G9" i="25"/>
  <c r="D78" i="39" s="1"/>
  <c r="G8" i="25"/>
  <c r="D45" i="39" s="1"/>
  <c r="J11" i="25"/>
  <c r="D107" i="39" s="1"/>
  <c r="J15" i="25"/>
  <c r="D239" i="39" s="1"/>
  <c r="G13" i="25"/>
  <c r="D177" i="39" s="1"/>
  <c r="I22" i="25"/>
  <c r="S408" i="39" s="1"/>
  <c r="S509" i="39"/>
  <c r="D573" i="39"/>
  <c r="I8" i="25"/>
  <c r="S45" i="39" s="1"/>
  <c r="I12" i="25"/>
  <c r="S144" i="39" s="1"/>
  <c r="G15" i="25"/>
  <c r="D243" i="39" s="1"/>
  <c r="J14" i="25"/>
  <c r="D206" i="39" s="1"/>
  <c r="J19" i="25"/>
  <c r="D338" i="39" s="1"/>
  <c r="G21" i="25"/>
  <c r="D375" i="39" s="1"/>
  <c r="S475" i="39"/>
  <c r="J8" i="25"/>
  <c r="D41" i="39" s="1"/>
  <c r="I9" i="25"/>
  <c r="S78" i="39" s="1"/>
  <c r="J12" i="25"/>
  <c r="D140" i="39" s="1"/>
  <c r="I13" i="25"/>
  <c r="S177" i="39" s="1"/>
  <c r="I18" i="25"/>
  <c r="S309" i="39" s="1"/>
  <c r="I21" i="25"/>
  <c r="S375" i="39" s="1"/>
  <c r="D505" i="39"/>
  <c r="D543" i="39"/>
  <c r="J9" i="25"/>
  <c r="D74" i="39" s="1"/>
  <c r="I11" i="25"/>
  <c r="S111" i="39" s="1"/>
  <c r="I15" i="25"/>
  <c r="S243" i="39" s="1"/>
  <c r="I19" i="25"/>
  <c r="S342" i="39"/>
  <c r="I23" i="25"/>
  <c r="S441" i="39" s="1"/>
  <c r="J17" i="25"/>
  <c r="D272" i="39"/>
  <c r="S543" i="39"/>
  <c r="G17" i="25"/>
  <c r="D276" i="39" s="1"/>
  <c r="I17" i="25"/>
  <c r="S276" i="39" s="1"/>
  <c r="D577" i="39"/>
  <c r="S577" i="39"/>
  <c r="C29" i="25"/>
  <c r="C51" i="25" s="1"/>
  <c r="C53" i="25" s="1"/>
  <c r="G43" i="25"/>
  <c r="I43" i="25"/>
  <c r="I57" i="25"/>
  <c r="G57" i="25"/>
  <c r="I32" i="25"/>
  <c r="G32" i="25"/>
  <c r="I51" i="25"/>
  <c r="G51" i="25"/>
  <c r="G41" i="25"/>
  <c r="I41" i="25"/>
  <c r="G63" i="25"/>
  <c r="J59" i="25"/>
  <c r="G55" i="25"/>
  <c r="G58" i="25"/>
  <c r="J53" i="25"/>
  <c r="G50" i="25"/>
  <c r="J42" i="25"/>
  <c r="G38" i="25"/>
  <c r="J35" i="25"/>
  <c r="I34" i="25"/>
  <c r="I31" i="25"/>
  <c r="J58" i="25"/>
  <c r="J65" i="25"/>
  <c r="G64" i="25"/>
  <c r="G60" i="25"/>
  <c r="G54" i="25"/>
  <c r="I50" i="25"/>
  <c r="G44" i="25"/>
  <c r="J41" i="25"/>
  <c r="G39" i="25"/>
  <c r="I33" i="25"/>
  <c r="G31" i="25"/>
  <c r="J30" i="25"/>
  <c r="I61" i="25"/>
  <c r="I60" i="25"/>
  <c r="I59" i="25"/>
  <c r="I63" i="25"/>
  <c r="J61" i="25"/>
  <c r="G53" i="25"/>
  <c r="J51" i="25"/>
  <c r="G42" i="25"/>
  <c r="J39" i="25"/>
  <c r="G37" i="25"/>
  <c r="J33" i="25"/>
  <c r="I29" i="25"/>
  <c r="I64" i="25"/>
  <c r="G59" i="25"/>
  <c r="I55" i="25"/>
  <c r="J54" i="25"/>
  <c r="J49" i="25"/>
  <c r="J44" i="25"/>
  <c r="I37" i="25"/>
  <c r="G34" i="25"/>
  <c r="J32" i="25"/>
  <c r="I30" i="25"/>
  <c r="G65" i="25"/>
  <c r="G61" i="25"/>
  <c r="J60" i="25"/>
  <c r="J50" i="25"/>
  <c r="I39" i="25"/>
  <c r="J38" i="25"/>
  <c r="I35" i="25"/>
  <c r="J29" i="25"/>
  <c r="I44" i="25"/>
  <c r="J43" i="25"/>
  <c r="I65" i="25"/>
  <c r="J64" i="25"/>
  <c r="J57" i="25"/>
  <c r="I54" i="25"/>
  <c r="G49" i="25"/>
  <c r="I42" i="25"/>
  <c r="I38" i="25"/>
  <c r="G33" i="25"/>
  <c r="J31" i="25"/>
  <c r="G30" i="25"/>
  <c r="J63" i="25"/>
  <c r="I58" i="25"/>
  <c r="J55" i="25"/>
  <c r="I53" i="25"/>
  <c r="I49" i="25"/>
  <c r="J37" i="25"/>
  <c r="J34" i="25"/>
  <c r="G35" i="25"/>
  <c r="G29" i="25"/>
  <c r="Q47" i="25"/>
  <c r="J47" i="25"/>
  <c r="Q27" i="25"/>
  <c r="J27" i="25"/>
  <c r="Q5" i="25"/>
  <c r="J5" i="25"/>
  <c r="Q46" i="25"/>
  <c r="Q26" i="25"/>
  <c r="Q4" i="25"/>
  <c r="J4" i="25"/>
  <c r="C49" i="25"/>
  <c r="C50" i="25" s="1"/>
  <c r="C30" i="25"/>
  <c r="I46" i="25"/>
  <c r="B65" i="25" s="1"/>
  <c r="B62" i="25"/>
  <c r="I26" i="25"/>
  <c r="B38" i="25" s="1"/>
  <c r="J46" i="25"/>
  <c r="J26" i="25"/>
  <c r="F2" i="25"/>
  <c r="F1" i="25"/>
  <c r="W8" i="25"/>
  <c r="U8" i="25"/>
  <c r="W9" i="25"/>
  <c r="W11" i="25"/>
  <c r="U11" i="25"/>
  <c r="A26" i="34"/>
  <c r="B30" i="25"/>
  <c r="B35" i="25"/>
  <c r="B36" i="25"/>
  <c r="B32" i="25"/>
  <c r="B29" i="25"/>
  <c r="C10" i="25" l="1"/>
  <c r="C11" i="25"/>
  <c r="AM68" i="39"/>
  <c r="B13" i="25"/>
  <c r="Y173" i="39" s="1"/>
  <c r="AG18" i="27"/>
  <c r="B31" i="25"/>
  <c r="B15" i="25"/>
  <c r="Y239" i="39" s="1"/>
  <c r="B51" i="25"/>
  <c r="C31" i="25"/>
  <c r="C33" i="25" s="1"/>
  <c r="C8" i="25"/>
  <c r="AM35" i="39" s="1"/>
  <c r="B7" i="25"/>
  <c r="Y8" i="39" s="1"/>
  <c r="AG20" i="27"/>
  <c r="AG19" i="27"/>
  <c r="AE22" i="27"/>
  <c r="B40" i="25"/>
  <c r="B39" i="25"/>
  <c r="B33" i="25"/>
  <c r="B24" i="25"/>
  <c r="B56" i="25"/>
  <c r="B8" i="25"/>
  <c r="Y41" i="39" s="1"/>
  <c r="B23" i="25"/>
  <c r="Y437" i="39" s="1"/>
  <c r="Z21" i="27"/>
  <c r="AE17" i="27"/>
  <c r="B59" i="25"/>
  <c r="B64" i="25"/>
  <c r="B11" i="25"/>
  <c r="Y107" i="39" s="1"/>
  <c r="B22" i="25"/>
  <c r="Y404" i="39" s="1"/>
  <c r="B10" i="25"/>
  <c r="B52" i="25"/>
  <c r="B58" i="25"/>
  <c r="B63" i="25"/>
  <c r="B19" i="25"/>
  <c r="Y338" i="39" s="1"/>
  <c r="B14" i="25"/>
  <c r="Y206" i="39" s="1"/>
  <c r="B16" i="25"/>
  <c r="B54" i="25"/>
  <c r="B18" i="25"/>
  <c r="Y305" i="39" s="1"/>
  <c r="B17" i="25"/>
  <c r="Y272" i="39" s="1"/>
  <c r="B41" i="25"/>
  <c r="B42" i="25"/>
  <c r="C52" i="25"/>
  <c r="B20" i="25"/>
  <c r="B50" i="25"/>
  <c r="B55" i="25"/>
  <c r="B60" i="25"/>
  <c r="B66" i="25"/>
  <c r="B21" i="25"/>
  <c r="Y371" i="39" s="1"/>
  <c r="W49" i="25"/>
  <c r="AB17" i="27"/>
  <c r="AD17" i="27" s="1"/>
  <c r="B43" i="25"/>
  <c r="B44" i="25"/>
  <c r="B34" i="25"/>
  <c r="B37" i="25"/>
  <c r="C35" i="25"/>
  <c r="C34" i="25"/>
  <c r="AE20" i="27"/>
  <c r="AG22" i="27"/>
  <c r="W15" i="25"/>
  <c r="X20" i="27" s="1"/>
  <c r="AB20" i="27"/>
  <c r="AD20" i="27" s="1"/>
  <c r="Z22" i="27"/>
  <c r="AC22" i="27" s="1"/>
  <c r="U15" i="25"/>
  <c r="AB22" i="27"/>
  <c r="AD22" i="27" s="1"/>
  <c r="AE19" i="27"/>
  <c r="AH19" i="27" s="1"/>
  <c r="Z19" i="27"/>
  <c r="C12" i="25"/>
  <c r="AM134" i="39" s="1"/>
  <c r="AM101" i="39"/>
  <c r="C13" i="25"/>
  <c r="AB21" i="27"/>
  <c r="AD21" i="27" s="1"/>
  <c r="U9" i="25"/>
  <c r="Z18" i="27"/>
  <c r="V19" i="27"/>
  <c r="X17" i="27"/>
  <c r="C32" i="25"/>
  <c r="C54" i="25"/>
  <c r="C55" i="25"/>
  <c r="W13" i="25"/>
  <c r="AB19" i="27"/>
  <c r="AD19" i="27" s="1"/>
  <c r="AE21" i="27"/>
  <c r="AG21" i="27"/>
  <c r="AE18" i="27"/>
  <c r="AH18" i="27" s="1"/>
  <c r="U14" i="25"/>
  <c r="X18" i="27" s="1"/>
  <c r="AB18" i="27"/>
  <c r="AD18" i="27" s="1"/>
  <c r="U18" i="25"/>
  <c r="V16" i="27" s="1"/>
  <c r="Z16" i="27"/>
  <c r="AH22" i="27"/>
  <c r="W7" i="25"/>
  <c r="Z17" i="27"/>
  <c r="AB16" i="27"/>
  <c r="AD16" i="27" s="1"/>
  <c r="V22" i="27"/>
  <c r="Z20" i="27"/>
  <c r="AC20" i="27" s="1"/>
  <c r="AG17" i="27"/>
  <c r="AH17" i="27" s="1"/>
  <c r="AE16" i="27"/>
  <c r="AH16" i="27" s="1"/>
  <c r="B49" i="25"/>
  <c r="B53" i="25"/>
  <c r="B57" i="25"/>
  <c r="B61" i="25"/>
  <c r="AC16" i="27" l="1"/>
  <c r="AC19" i="27"/>
  <c r="AH20" i="27"/>
  <c r="AH21" i="27"/>
  <c r="AC17" i="27"/>
  <c r="C56" i="25"/>
  <c r="C57" i="25"/>
  <c r="AM167" i="39"/>
  <c r="C14" i="25"/>
  <c r="AM200" i="39" s="1"/>
  <c r="C15" i="25"/>
  <c r="X16" i="27"/>
  <c r="Y16" i="27" s="1"/>
  <c r="V17" i="27"/>
  <c r="AC18" i="27"/>
  <c r="C36" i="25"/>
  <c r="C37" i="25"/>
  <c r="V21" i="27"/>
  <c r="X19" i="27"/>
  <c r="U19" i="27" s="1"/>
  <c r="X21" i="27"/>
  <c r="V18" i="27"/>
  <c r="V20" i="27"/>
  <c r="X22" i="27"/>
  <c r="U22" i="27" s="1"/>
  <c r="AC21" i="27"/>
  <c r="Y20" i="27" l="1"/>
  <c r="U20" i="27"/>
  <c r="Y21" i="27"/>
  <c r="AW21" i="27" s="1"/>
  <c r="U21" i="27"/>
  <c r="Y17" i="27"/>
  <c r="AU17" i="27" s="1"/>
  <c r="U17" i="27"/>
  <c r="U18" i="27"/>
  <c r="Y18" i="27"/>
  <c r="AO18" i="27" s="1"/>
  <c r="C39" i="25"/>
  <c r="C38" i="25"/>
  <c r="Y19" i="27"/>
  <c r="AW19" i="27" s="1"/>
  <c r="C59" i="25"/>
  <c r="C58" i="25"/>
  <c r="AW16" i="27"/>
  <c r="Y22" i="27"/>
  <c r="AS22" i="27" s="1"/>
  <c r="C17" i="25"/>
  <c r="C16" i="25"/>
  <c r="AM233" i="39"/>
  <c r="U16" i="27"/>
  <c r="AS16" i="27"/>
  <c r="AY16" i="27" l="1"/>
  <c r="AQ18" i="27"/>
  <c r="AO21" i="27"/>
  <c r="BA21" i="27"/>
  <c r="AW18" i="27"/>
  <c r="AY17" i="27"/>
  <c r="BA18" i="27"/>
  <c r="BA20" i="27"/>
  <c r="C19" i="25"/>
  <c r="AM266" i="39"/>
  <c r="C18" i="25"/>
  <c r="AM299" i="39" s="1"/>
  <c r="AY19" i="27"/>
  <c r="AQ22" i="27"/>
  <c r="AU22" i="27"/>
  <c r="AO22" i="27"/>
  <c r="AY18" i="27"/>
  <c r="BA17" i="27"/>
  <c r="AQ21" i="27"/>
  <c r="AS21" i="27"/>
  <c r="AW22" i="27"/>
  <c r="AO20" i="27"/>
  <c r="BA19" i="27"/>
  <c r="AO19" i="27"/>
  <c r="AQ20" i="27"/>
  <c r="AS19" i="27"/>
  <c r="AY22" i="27"/>
  <c r="AW17" i="27"/>
  <c r="AO17" i="27"/>
  <c r="AU20" i="27"/>
  <c r="AY20" i="27"/>
  <c r="BA16" i="27"/>
  <c r="AQ16" i="27"/>
  <c r="AQ19" i="27"/>
  <c r="C61" i="25"/>
  <c r="C60" i="25"/>
  <c r="C41" i="25"/>
  <c r="C40" i="25"/>
  <c r="AU18" i="27"/>
  <c r="AS17" i="27"/>
  <c r="AU21" i="27"/>
  <c r="AS20" i="27"/>
  <c r="AU16" i="27"/>
  <c r="AM19" i="27" l="1"/>
  <c r="AM22" i="27"/>
  <c r="AM18" i="27"/>
  <c r="AV18" i="27" s="1"/>
  <c r="AM21" i="27"/>
  <c r="BB21" i="27" s="1"/>
  <c r="C63" i="25"/>
  <c r="C62" i="25"/>
  <c r="BB19" i="27"/>
  <c r="AV22" i="27"/>
  <c r="AT22" i="27"/>
  <c r="AZ22" i="27"/>
  <c r="C42" i="25"/>
  <c r="C43" i="25"/>
  <c r="C44" i="25" s="1"/>
  <c r="AM16" i="27"/>
  <c r="AM20" i="27"/>
  <c r="AX18" i="27" s="1"/>
  <c r="C21" i="25"/>
  <c r="AM332" i="39"/>
  <c r="C20" i="25"/>
  <c r="AM17" i="27"/>
  <c r="AR22" i="27" s="1"/>
  <c r="AZ19" i="27" l="1"/>
  <c r="AZ18" i="27"/>
  <c r="AV21" i="27"/>
  <c r="AX19" i="27"/>
  <c r="AT21" i="27"/>
  <c r="BB18" i="27"/>
  <c r="AP21" i="27"/>
  <c r="AT19" i="27"/>
  <c r="AM365" i="39"/>
  <c r="C22" i="25"/>
  <c r="AM398" i="39" s="1"/>
  <c r="C23" i="25"/>
  <c r="C64" i="25"/>
  <c r="C65" i="25"/>
  <c r="C66" i="25" s="1"/>
  <c r="AP18" i="27"/>
  <c r="AX17" i="27"/>
  <c r="AZ17" i="27"/>
  <c r="BB17" i="27"/>
  <c r="AV17" i="27"/>
  <c r="AP17" i="27"/>
  <c r="AT17" i="27"/>
  <c r="AR20" i="27"/>
  <c r="AP20" i="27"/>
  <c r="AV20" i="27"/>
  <c r="AZ20" i="27"/>
  <c r="AT20" i="27"/>
  <c r="BB20" i="27"/>
  <c r="AX22" i="27"/>
  <c r="AR19" i="27"/>
  <c r="AR21" i="27"/>
  <c r="AR18" i="27"/>
  <c r="AZ16" i="27"/>
  <c r="AV16" i="27"/>
  <c r="AX16" i="27"/>
  <c r="AT16" i="27"/>
  <c r="AR16" i="27"/>
  <c r="BB16" i="27"/>
  <c r="AP22" i="27"/>
  <c r="AN22" i="27" s="1"/>
  <c r="AL22" i="27" s="1"/>
  <c r="AP19" i="27"/>
  <c r="AX21" i="27"/>
  <c r="AN19" i="27" l="1"/>
  <c r="AL19" i="27" s="1"/>
  <c r="AN21" i="27"/>
  <c r="AL21" i="27" s="1"/>
  <c r="AN20" i="27"/>
  <c r="AL20" i="27" s="1"/>
  <c r="C24" i="25"/>
  <c r="AM431" i="39"/>
  <c r="AN16" i="27"/>
  <c r="AL16" i="27" s="1"/>
  <c r="AN18" i="27"/>
  <c r="AL18" i="27" s="1"/>
  <c r="AN17" i="27"/>
  <c r="AL17" i="27" s="1"/>
  <c r="AK17" i="27" s="1"/>
  <c r="AK19" i="27" l="1"/>
  <c r="S19" i="27" s="1"/>
  <c r="AI19" i="27"/>
  <c r="S17" i="27"/>
  <c r="AI17" i="27"/>
  <c r="AK22" i="27"/>
  <c r="AK18" i="27"/>
  <c r="AK20" i="27"/>
  <c r="AK16" i="27"/>
  <c r="AK21" i="27"/>
  <c r="S20" i="27" l="1"/>
  <c r="AI20" i="27"/>
  <c r="AI16" i="27"/>
  <c r="S16" i="27"/>
  <c r="AI18" i="27"/>
  <c r="S18" i="27"/>
  <c r="AI21" i="27"/>
  <c r="S21" i="27"/>
  <c r="AI22" i="27"/>
  <c r="S22" i="27"/>
  <c r="A18" i="27" l="1"/>
  <c r="H22" i="27"/>
  <c r="H21" i="27"/>
  <c r="H20" i="27"/>
  <c r="H19" i="27"/>
  <c r="H18" i="27"/>
  <c r="H17" i="27"/>
  <c r="H16" i="27"/>
  <c r="O21" i="27"/>
  <c r="B17" i="27"/>
  <c r="A26" i="29" s="1"/>
  <c r="B21" i="27"/>
  <c r="A26" i="33" s="1"/>
  <c r="A19" i="27"/>
  <c r="C22" i="27"/>
  <c r="C21" i="27"/>
  <c r="C20" i="27"/>
  <c r="C19" i="27"/>
  <c r="C18" i="27"/>
  <c r="C17" i="27"/>
  <c r="C16" i="27"/>
  <c r="D16" i="27"/>
  <c r="L22" i="27"/>
  <c r="L20" i="27"/>
  <c r="L18" i="27"/>
  <c r="L16" i="27"/>
  <c r="O18" i="27"/>
  <c r="B20" i="27"/>
  <c r="A26" i="32" s="1"/>
  <c r="K21" i="27"/>
  <c r="K18" i="27"/>
  <c r="O19" i="27"/>
  <c r="A17" i="27"/>
  <c r="F20" i="27"/>
  <c r="F17" i="27"/>
  <c r="B18" i="27"/>
  <c r="A26" i="30" s="1"/>
  <c r="A20" i="27"/>
  <c r="D22" i="27"/>
  <c r="D21" i="27"/>
  <c r="D20" i="27"/>
  <c r="D19" i="27"/>
  <c r="D18" i="27"/>
  <c r="D17" i="27"/>
  <c r="O22" i="27"/>
  <c r="L21" i="27"/>
  <c r="L19" i="27"/>
  <c r="L17" i="27"/>
  <c r="K22" i="27"/>
  <c r="K17" i="27"/>
  <c r="F22" i="27"/>
  <c r="F19" i="27"/>
  <c r="F16" i="27"/>
  <c r="A22" i="27"/>
  <c r="N22" i="27"/>
  <c r="N21" i="27"/>
  <c r="N20" i="27"/>
  <c r="N19" i="27"/>
  <c r="N18" i="27"/>
  <c r="N17" i="27"/>
  <c r="N16" i="27"/>
  <c r="O16" i="27"/>
  <c r="B16" i="27"/>
  <c r="A26" i="28" s="1"/>
  <c r="B19" i="27"/>
  <c r="A26" i="31" s="1"/>
  <c r="A21" i="27"/>
  <c r="J22" i="27"/>
  <c r="J21" i="27"/>
  <c r="J20" i="27"/>
  <c r="J19" i="27"/>
  <c r="J18" i="27"/>
  <c r="J17" i="27"/>
  <c r="J16" i="27"/>
  <c r="O17" i="27"/>
  <c r="A16" i="27"/>
  <c r="K20" i="27"/>
  <c r="K19" i="27"/>
  <c r="K16" i="27"/>
  <c r="F21" i="27"/>
  <c r="F18" i="27"/>
  <c r="O20" i="27"/>
</calcChain>
</file>

<file path=xl/comments1.xml><?xml version="1.0" encoding="utf-8"?>
<comments xmlns="http://schemas.openxmlformats.org/spreadsheetml/2006/main">
  <authors>
    <author>Burkhard</author>
  </authors>
  <commentList>
    <comment ref="U3" authorId="0" shapeId="0">
      <text>
        <r>
          <rPr>
            <b/>
            <sz val="8"/>
            <color indexed="81"/>
            <rFont val="Tahoma"/>
          </rPr>
          <t>Hier wird die gewünschte Spielklasse 
in Kurzform für die Spielkarten eingetragen :
z.B.: Damen BOLS</t>
        </r>
        <r>
          <rPr>
            <sz val="8"/>
            <color indexed="81"/>
            <rFont val="Tahoma"/>
          </rPr>
          <t xml:space="preserve">
</t>
        </r>
      </text>
    </comment>
    <comment ref="U4" authorId="0" shapeId="0">
      <text>
        <r>
          <rPr>
            <b/>
            <sz val="8"/>
            <color indexed="81"/>
            <rFont val="Tahoma"/>
          </rPr>
          <t>Hier wird die gewünschte Spielklasse eingetragen :
z.B.: Damen Bezirksoberliga Süd</t>
        </r>
      </text>
    </comment>
    <comment ref="U5" authorId="0" shapeId="0">
      <text>
        <r>
          <rPr>
            <b/>
            <sz val="8"/>
            <color indexed="81"/>
            <rFont val="Tahoma"/>
          </rPr>
          <t>Hier wird die Bennenung des Meistertitels für die Urkunden eingetragen :
z.B.: Bezirksoberligameister</t>
        </r>
        <r>
          <rPr>
            <sz val="8"/>
            <color indexed="81"/>
            <rFont val="Tahoma"/>
          </rPr>
          <t xml:space="preserve">
</t>
        </r>
      </text>
    </comment>
    <comment ref="U6" authorId="0" shapeId="0">
      <text>
        <r>
          <rPr>
            <b/>
            <sz val="8"/>
            <color indexed="81"/>
            <rFont val="Tahoma"/>
          </rPr>
          <t>Saison eintragen :
z.B.: Feld 2008</t>
        </r>
        <r>
          <rPr>
            <sz val="8"/>
            <color indexed="81"/>
            <rFont val="Tahoma"/>
          </rPr>
          <t xml:space="preserve">
</t>
        </r>
      </text>
    </comment>
    <comment ref="U7" authorId="0" shapeId="0">
      <text>
        <r>
          <rPr>
            <b/>
            <sz val="8"/>
            <color indexed="81"/>
            <rFont val="Tahoma"/>
          </rPr>
          <t xml:space="preserve">Hier wird die notwendige Schiedsrichterlizenz für den Ausrichterkontrollbogen  eingetragen </t>
        </r>
        <r>
          <rPr>
            <sz val="8"/>
            <color indexed="81"/>
            <rFont val="Tahoma"/>
          </rPr>
          <t xml:space="preserve">
</t>
        </r>
      </text>
    </comment>
    <comment ref="U8" authorId="0" shapeId="0">
      <text>
        <r>
          <rPr>
            <b/>
            <sz val="8"/>
            <color indexed="81"/>
            <rFont val="Tahoma"/>
          </rPr>
          <t>Hier wird der Name des oder der Staffelleiter/in für die Urkunden eingetragen</t>
        </r>
        <r>
          <rPr>
            <sz val="8"/>
            <color indexed="81"/>
            <rFont val="Tahoma"/>
          </rPr>
          <t xml:space="preserve">
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</rPr>
          <t>Hier kann die geschätzte Spieldauer eines Durchganges eingetragen werden, diese wird für die Berechnung der jeweiligen Startzeit verwendet.
Z.B.: 0:30:00 für 30 min</t>
        </r>
      </text>
    </comment>
    <comment ref="U10" authorId="0" shapeId="0">
      <text>
        <r>
          <rPr>
            <b/>
            <sz val="8"/>
            <color indexed="81"/>
            <rFont val="Tahoma"/>
          </rPr>
          <t>Hier kann die Pausendauer zwischen den Durchgängen eingetragen werden, diese wird für die Berechnung der jeweiligen Startzeit verwendet.
Z.B.: 0:05:00 für 5 min</t>
        </r>
        <r>
          <rPr>
            <sz val="8"/>
            <color indexed="81"/>
            <rFont val="Tahoma"/>
          </rPr>
          <t xml:space="preserve">
</t>
        </r>
      </text>
    </comment>
    <comment ref="R14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16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T16" authorId="0" shapeId="0">
      <text>
        <r>
          <rPr>
            <b/>
            <sz val="8"/>
            <color indexed="81"/>
            <rFont val="Tahoma"/>
          </rPr>
          <t>Hier werden die teilnehmenden Mannschaften eingetragen</t>
        </r>
        <r>
          <rPr>
            <sz val="8"/>
            <color indexed="81"/>
            <rFont val="Tahoma"/>
          </rPr>
          <t xml:space="preserve">
</t>
        </r>
      </text>
    </comment>
    <comment ref="R17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18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19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20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21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  <r>
          <rPr>
            <sz val="8"/>
            <color indexed="81"/>
            <rFont val="Tahoma"/>
          </rPr>
          <t xml:space="preserve">
</t>
        </r>
      </text>
    </comment>
    <comment ref="R22" authorId="0" shapeId="0">
      <text>
        <r>
          <rPr>
            <b/>
            <sz val="8"/>
            <color indexed="81"/>
            <rFont val="Tahoma"/>
          </rPr>
          <t>Diese Platzierung nur verändern, wenn das Los entscheiden musste !!</t>
        </r>
      </text>
    </comment>
    <comment ref="T27" authorId="0" shapeId="0">
      <text>
        <r>
          <rPr>
            <b/>
            <sz val="8"/>
            <color indexed="81"/>
            <rFont val="Tahoma"/>
          </rPr>
          <t>In diese Tabelle werden die Spieltage und ihre Orte eingetragen, mit der jeweiligen Startzeit des ersten Durchganges.
Diese Einträge finden sich auf dem Spielplan wieder.</t>
        </r>
      </text>
    </comment>
    <comment ref="X28" authorId="0" shapeId="0">
      <text>
        <r>
          <rPr>
            <b/>
            <sz val="8"/>
            <color indexed="81"/>
            <rFont val="Tahoma"/>
          </rPr>
          <t xml:space="preserve">Startuhrzeit eintragen : z.B.: 10:00
</t>
        </r>
        <r>
          <rPr>
            <sz val="8"/>
            <color indexed="81"/>
            <rFont val="Tahoma"/>
          </rPr>
          <t xml:space="preserve">
</t>
        </r>
      </text>
    </comment>
    <comment ref="X30" authorId="0" shapeId="0">
      <text>
        <r>
          <rPr>
            <b/>
            <sz val="8"/>
            <color indexed="81"/>
            <rFont val="Tahoma"/>
          </rPr>
          <t>Startuhrzeit eintragen : z.B.: 10:00</t>
        </r>
        <r>
          <rPr>
            <sz val="8"/>
            <color indexed="81"/>
            <rFont val="Tahoma"/>
          </rPr>
          <t xml:space="preserve">
</t>
        </r>
      </text>
    </comment>
    <comment ref="X32" authorId="0" shapeId="0">
      <text>
        <r>
          <rPr>
            <b/>
            <sz val="8"/>
            <color indexed="81"/>
            <rFont val="Tahoma"/>
          </rPr>
          <t>Startuhrzeit eintragen : z.B.: 10:00</t>
        </r>
      </text>
    </comment>
  </commentList>
</comments>
</file>

<file path=xl/comments2.xml><?xml version="1.0" encoding="utf-8"?>
<comments xmlns="http://schemas.openxmlformats.org/spreadsheetml/2006/main">
  <authors>
    <author>Burkhard</author>
  </authors>
  <commentList>
    <comment ref="AU9" authorId="0" shapeId="0">
      <text>
        <r>
          <rPr>
            <b/>
            <sz val="8"/>
            <color indexed="81"/>
            <rFont val="Tahoma"/>
          </rPr>
          <t>Hier bitte die Spielnummer für den ersten Spielbericht eingeben</t>
        </r>
      </text>
    </comment>
    <comment ref="AX9" authorId="0" shapeId="0">
      <text>
        <r>
          <rPr>
            <b/>
            <sz val="8"/>
            <color indexed="81"/>
            <rFont val="Tahoma"/>
          </rPr>
          <t>Hier bitte die Spielnummer für den letzten Spielbericht eingeben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<sst xmlns="http://schemas.openxmlformats.org/spreadsheetml/2006/main" count="1774" uniqueCount="187">
  <si>
    <t xml:space="preserve"> : </t>
  </si>
  <si>
    <t>Bälle</t>
  </si>
  <si>
    <t>Punkte</t>
  </si>
  <si>
    <t>2. Spieltag</t>
  </si>
  <si>
    <t>Feld</t>
  </si>
  <si>
    <t>Durchg.</t>
  </si>
  <si>
    <t>Schiedsrichter</t>
  </si>
  <si>
    <t>Mannschaft B</t>
  </si>
  <si>
    <t>Mannschaft A</t>
  </si>
  <si>
    <t>Zeit</t>
  </si>
  <si>
    <t>Platz</t>
  </si>
  <si>
    <t>Balldiff</t>
  </si>
  <si>
    <t>Mannschaft</t>
  </si>
  <si>
    <t>Punktdiff</t>
  </si>
  <si>
    <t>Spiel</t>
  </si>
  <si>
    <t>Spiele</t>
  </si>
  <si>
    <t>Stand :</t>
  </si>
  <si>
    <t xml:space="preserve"> :</t>
  </si>
  <si>
    <t>Pausenzeit</t>
  </si>
  <si>
    <t>Spieltage</t>
  </si>
  <si>
    <t>Datum</t>
  </si>
  <si>
    <t>Spielort</t>
  </si>
  <si>
    <t>Beginn</t>
  </si>
  <si>
    <t>Durchgangsdauer ges.</t>
  </si>
  <si>
    <t>Spielklasse</t>
  </si>
  <si>
    <t>Saison</t>
  </si>
  <si>
    <t>Mannschaften</t>
  </si>
  <si>
    <t xml:space="preserve">Platzierung                                   </t>
  </si>
  <si>
    <t>Vorgaben / Berechnungen</t>
  </si>
  <si>
    <t>Die Mannschaft</t>
  </si>
  <si>
    <t>errang den Titel</t>
  </si>
  <si>
    <t>Faustball im SHTV</t>
  </si>
  <si>
    <t>Wo Faustball Spaß macht</t>
  </si>
  <si>
    <t>Schleswig-Holsteinischer</t>
  </si>
  <si>
    <t>Turnverband e.V.</t>
  </si>
  <si>
    <t>errang</t>
  </si>
  <si>
    <t>den 3. Platz</t>
  </si>
  <si>
    <t>den 4. Platz</t>
  </si>
  <si>
    <t>den 5. Platz</t>
  </si>
  <si>
    <t>den 6. Platz</t>
  </si>
  <si>
    <t>den 7. Platz</t>
  </si>
  <si>
    <t>, den</t>
  </si>
  <si>
    <t>Staffelleiter/in</t>
  </si>
  <si>
    <t>Faustball - Meisterschaft</t>
  </si>
  <si>
    <t>Spielbericht - Faustball</t>
  </si>
  <si>
    <t>Spielbeginn :</t>
  </si>
  <si>
    <t>Verband :</t>
  </si>
  <si>
    <t>Durchgang :</t>
  </si>
  <si>
    <t>......................................................</t>
  </si>
  <si>
    <t>Spielklasse :</t>
  </si>
  <si>
    <t>Spiel-Nr. :</t>
  </si>
  <si>
    <t>( Name )</t>
  </si>
  <si>
    <t>Spieltag :</t>
  </si>
  <si>
    <t>Feld :</t>
  </si>
  <si>
    <t>( Verein )</t>
  </si>
  <si>
    <t>Entscheidungsspiel</t>
  </si>
  <si>
    <t>Verwg.</t>
  </si>
  <si>
    <t>Qualifikationsspiel</t>
  </si>
  <si>
    <t>Ballwahl und Anspiel</t>
  </si>
  <si>
    <t>A</t>
  </si>
  <si>
    <t>B</t>
  </si>
  <si>
    <t>Paß-Nr.</t>
  </si>
  <si>
    <t>Name</t>
  </si>
  <si>
    <t>Zeitstr.</t>
  </si>
  <si>
    <t>Spielstand ( A : B )</t>
  </si>
  <si>
    <t>Spielführer</t>
  </si>
  <si>
    <t>:</t>
  </si>
  <si>
    <t>Sieger :</t>
  </si>
  <si>
    <t xml:space="preserve"> </t>
  </si>
  <si>
    <t>..............................................</t>
  </si>
  <si>
    <t>Entsprechenden Vorfall kennzeichnen</t>
  </si>
  <si>
    <t>Für die Richtigkeit der Eintragungen</t>
  </si>
  <si>
    <t>und Bericht auf  Rückseite abgeben.</t>
  </si>
  <si>
    <t>Spielführer (A)</t>
  </si>
  <si>
    <t>Spielführer (B)</t>
  </si>
  <si>
    <t>Einspruch</t>
  </si>
  <si>
    <t>Verletzung</t>
  </si>
  <si>
    <t>Anschreiber</t>
  </si>
  <si>
    <t>Feldverweis</t>
  </si>
  <si>
    <t>Sonstiges</t>
  </si>
  <si>
    <t>1.Satz</t>
  </si>
  <si>
    <t>2.Satz</t>
  </si>
  <si>
    <t>3.Satz</t>
  </si>
  <si>
    <t>Sätze</t>
  </si>
  <si>
    <t>Satzdiff</t>
  </si>
  <si>
    <t>Spieldauer</t>
  </si>
  <si>
    <t>Meistertitel für Urkunde</t>
  </si>
  <si>
    <t>Staffelleiter</t>
  </si>
  <si>
    <t>_______________________________</t>
  </si>
  <si>
    <t>für Satzspiele</t>
  </si>
  <si>
    <t>Satzverh</t>
  </si>
  <si>
    <t>Ausrichterkontrollbogen</t>
  </si>
  <si>
    <t>Spieltag am : ________ in _______________________</t>
  </si>
  <si>
    <t>Passkontrolle</t>
  </si>
  <si>
    <t>Schiedsrichter mit</t>
  </si>
  <si>
    <t>Spieler</t>
  </si>
  <si>
    <t>Als Pass genügt auch eine Kopie der Geburtsurkunde mit Passbild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</si>
  <si>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</si>
  <si>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</si>
  <si>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</si>
  <si>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</si>
  <si>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</si>
  <si>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</si>
  <si>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</si>
  <si>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</si>
  <si>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</si>
  <si>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</si>
  <si>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t xml:space="preserve"> -</t>
  </si>
  <si>
    <t>Eintrag des Schiedsrichters (Leserlich in Druckbuchstaben) - vom Schiedsrichter vorzunehmen</t>
  </si>
  <si>
    <t>Weitergabe der Spielkarten und des Kontrollbogens an den Staffelleiter, direkt nach Spieltagende.</t>
  </si>
  <si>
    <t>......................................................................................................................................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</si>
  <si>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</si>
  <si>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r>
      <t>4.</t>
    </r>
    <r>
      <rPr>
        <b/>
        <u/>
        <sz val="11"/>
        <rFont val="Times New Roman"/>
        <family val="1"/>
      </rPr>
      <t xml:space="preserve"> Bemerkungen</t>
    </r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</si>
  <si>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</si>
  <si>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</si>
  <si>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 xml:space="preserve"> unmittelbar nach Beendigung des letzten Spieles.</t>
  </si>
  <si>
    <t>Telefonische oder elektronische Durchgabe der Ergebnisse an den Staffelleiter/in und die Landesgeschäftsstelle</t>
  </si>
  <si>
    <t>notw. SchiriLizenz</t>
  </si>
  <si>
    <t xml:space="preserve"> - Lizenz</t>
  </si>
  <si>
    <t>Spielereintrag ( Aufkleber ) in jede Spielkarte!</t>
  </si>
  <si>
    <t>Vollständigkeit ( Satz-/Endergebnisse,Unterschrift Spielführer,Anschreiber,Schiedsrichter)</t>
  </si>
  <si>
    <t>XXXXXXXX</t>
  </si>
  <si>
    <t>Los</t>
  </si>
  <si>
    <t>Platzierung nach Losung</t>
  </si>
  <si>
    <t>1.</t>
  </si>
  <si>
    <t>3.</t>
  </si>
  <si>
    <t>Teilnehmende Mannschaften</t>
  </si>
  <si>
    <t>Vize -</t>
  </si>
  <si>
    <t>Platzierung</t>
  </si>
  <si>
    <t>Kurz-Bedienungsanleitung</t>
  </si>
  <si>
    <t>Eingabe aller notwendigen Informationen in die grünen Felder im Arbeitsblatt Platzierung</t>
  </si>
  <si>
    <t>Alle Mannschaften müssen zum 1. Durchgang anwesend sein !!</t>
  </si>
  <si>
    <t>Hinweise findet man direkt in den Eingabefeldern (Kommentare)</t>
  </si>
  <si>
    <t>sind nur zu ändern, wenn wirklich ein Losentscheid durchgeführt wurde !!!</t>
  </si>
  <si>
    <t>Die hellgrünen Felder unter der Platzierung nach Losung,</t>
  </si>
  <si>
    <t>Jetzt brauchen lediglich nur noch die Ergebnisse direkt in den Spielplan eingetragen werden.</t>
  </si>
  <si>
    <t>Am besten geht diesen unter Verwendung der TAB-Taste.</t>
  </si>
  <si>
    <t>Die Tabelle und die Urkunden werden immer auf dem aktuellsten Stand gehalten, ohne weitere Arbeitsschritte.</t>
  </si>
  <si>
    <t>Höhere Satzdifferenz aus allen Spielen der Spielrunde</t>
  </si>
  <si>
    <t>Höhere Balldifferenz aus allen Spielen der Spielrunde</t>
  </si>
  <si>
    <t>2.</t>
  </si>
  <si>
    <t>4.</t>
  </si>
  <si>
    <t>5.</t>
  </si>
  <si>
    <t>6.</t>
  </si>
  <si>
    <t>7.</t>
  </si>
  <si>
    <t>Höheres Satzverhältnis aus allen Spielen der Spielrunde</t>
  </si>
  <si>
    <t>Höhere Satzdifferenz aus den Spielen der punktgleichen Mannschaften untereinander</t>
  </si>
  <si>
    <t>Höheres Satzverhältnis aus den Spielen der punktgleichen Mannschaften untereinander</t>
  </si>
  <si>
    <t>Höhere Balldifferenz aus den Spielen der punktgleichen Mannschaften untereinander</t>
  </si>
  <si>
    <t>Losentscheid</t>
  </si>
  <si>
    <t>Die Berechnung bei Punktgleichheit erfolgt gemäß folgender Reihenfolge :</t>
  </si>
  <si>
    <t>Mit freundlichen Grüßen</t>
  </si>
  <si>
    <t>Burkhard</t>
  </si>
  <si>
    <t>0170-4940123</t>
  </si>
  <si>
    <t>04327-140478</t>
  </si>
  <si>
    <t>Bei Fragen und Anregungen stehe ich gerne zur Verfügung</t>
  </si>
  <si>
    <t>Tel.:</t>
  </si>
  <si>
    <t>Handy :</t>
  </si>
  <si>
    <t>email :</t>
  </si>
  <si>
    <t>burkhard_maack@gmx.de</t>
  </si>
  <si>
    <t>Summen</t>
  </si>
  <si>
    <t>Spielklasse Kurzform</t>
  </si>
  <si>
    <t xml:space="preserve"> - </t>
  </si>
  <si>
    <t>Spielberichte ausfüllen</t>
  </si>
  <si>
    <t>für die Spiele</t>
  </si>
  <si>
    <t>von</t>
  </si>
  <si>
    <t>bis</t>
  </si>
  <si>
    <t>max 18 Spiele</t>
  </si>
  <si>
    <t>Für die Spielkarten bedarf es dem Eintrag der Spielnummern in die beiden grünen Felder.</t>
  </si>
  <si>
    <t>Es sollten immer das erste und das letzte benötigte Spiel dort eingetragen werden.</t>
  </si>
  <si>
    <t>Bitte erst durchlesen, und dann meckern ;-)</t>
  </si>
  <si>
    <t xml:space="preserve">Nach Eingabe aller Informationen, wird der Spielplan, die Spielkarten, Tabelle, </t>
  </si>
  <si>
    <t>Urkunden und Ausrichterkontrollbogen automatisch mit den Daten gefüllt.</t>
  </si>
  <si>
    <t>Die nicht benötigten Spielkarten werden ausgeblendet.</t>
  </si>
  <si>
    <t>Beim Drucken werden auch leere Blätter am Ende mit ausgeworfen,</t>
  </si>
  <si>
    <t>1. Spieltag</t>
  </si>
  <si>
    <t>3. Spieltag</t>
  </si>
  <si>
    <t>bei den entsprechenden Mannschaften anzupassen.</t>
  </si>
  <si>
    <r>
      <t xml:space="preserve">Wenn die Tabelle Einträge </t>
    </r>
    <r>
      <rPr>
        <b/>
        <sz val="10"/>
        <color indexed="10"/>
        <rFont val="Arial"/>
        <family val="2"/>
      </rPr>
      <t>#NV</t>
    </r>
    <r>
      <rPr>
        <b/>
        <sz val="10"/>
        <rFont val="Arial"/>
        <family val="2"/>
      </rPr>
      <t xml:space="preserve"> enthält, ist die Platzierung  nach Losung</t>
    </r>
  </si>
  <si>
    <t>Vers_2_0</t>
  </si>
  <si>
    <t>Fehler beseitigt</t>
  </si>
  <si>
    <t>Fehler / Verbesserungen</t>
  </si>
  <si>
    <t>wenn weniger als 18 Spielberichte benötigt werden.</t>
  </si>
  <si>
    <t xml:space="preserve"> Ich arbeite dran !</t>
  </si>
  <si>
    <t>Ein Berechnungsfehler führt dazu das die Platzierung für die Mannschaften 5 - 7 in bestimmten Fällen falsch ist</t>
  </si>
  <si>
    <t>Bei mehreren Mannschaften aus einem Verein, kommt es zu Begegnungen die vom eigenen Verein geschiedst werden</t>
  </si>
  <si>
    <t>Gnutz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</si>
</sst>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d/\ mmmm\ yyyy"/>
    <numFmt numFmtId="165" formatCode="h:mm"/>
    <numFmt numFmtId="166" formatCode="h:mm:ss"/>
    <numFmt numFmtId="167" formatCode="0.000"/>
    <numFmt numFmtId="168" formatCode="0.00000000"/>
    <numFmt numFmtId="169" formatCode="0.0000"/>
    <numFmt numFmtId="170" formatCode="0.0000000"/>
    <numFmt numFmtId="171" formatCode="dd/mm/yy"/>
    <numFmt numFmtId="172" formatCode=";;;"/>
  </numFmts>
  <fonts count="5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sz val="80"/>
      <color indexed="10"/>
      <name val="Times New Roman"/>
      <family val="1"/>
    </font>
    <font>
      <b/>
      <sz val="30"/>
      <name val="Times New Roman"/>
      <family val="1"/>
    </font>
    <font>
      <sz val="30"/>
      <name val="Arial"/>
    </font>
    <font>
      <b/>
      <sz val="28"/>
      <name val="Times New Roman"/>
      <family val="1"/>
    </font>
    <font>
      <sz val="28"/>
      <name val="Arial"/>
    </font>
    <font>
      <b/>
      <sz val="26"/>
      <name val="Times New Roman"/>
      <family val="1"/>
    </font>
    <font>
      <sz val="26"/>
      <name val="Arial"/>
    </font>
    <font>
      <b/>
      <i/>
      <sz val="26"/>
      <name val="Times New Roman"/>
      <family val="1"/>
    </font>
    <font>
      <i/>
      <sz val="26"/>
      <name val="Arial"/>
    </font>
    <font>
      <b/>
      <u/>
      <sz val="26"/>
      <name val="Times New Roman"/>
      <family val="1"/>
    </font>
    <font>
      <u/>
      <sz val="26"/>
      <name val="Arial"/>
    </font>
    <font>
      <b/>
      <sz val="2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8"/>
      <name val="Times New Roman"/>
      <family val="1"/>
    </font>
    <font>
      <sz val="8"/>
      <name val="Arial"/>
    </font>
    <font>
      <b/>
      <sz val="14"/>
      <name val="Arial"/>
    </font>
    <font>
      <sz val="8"/>
      <name val="Arial"/>
      <family val="2"/>
    </font>
    <font>
      <b/>
      <sz val="11"/>
      <name val="Arial"/>
    </font>
    <font>
      <sz val="11"/>
      <name val="Arial"/>
      <family val="2"/>
    </font>
    <font>
      <sz val="14"/>
      <name val="Arial"/>
      <family val="2"/>
    </font>
    <font>
      <b/>
      <sz val="8"/>
      <name val="Arial"/>
    </font>
    <font>
      <b/>
      <sz val="10"/>
      <name val="Arial"/>
    </font>
    <font>
      <b/>
      <sz val="8"/>
      <name val="Arial"/>
      <family val="2"/>
    </font>
    <font>
      <b/>
      <sz val="9"/>
      <name val="Arial"/>
    </font>
    <font>
      <b/>
      <sz val="9"/>
      <name val="Arial"/>
      <family val="2"/>
    </font>
    <font>
      <b/>
      <sz val="18"/>
      <name val="Arial"/>
      <family val="2"/>
    </font>
    <font>
      <sz val="11"/>
      <name val="Arial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7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/>
    <xf numFmtId="0" fontId="10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14" fontId="23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20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2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28" fillId="0" borderId="4" xfId="0" applyFont="1" applyBorder="1"/>
    <xf numFmtId="0" fontId="0" fillId="0" borderId="4" xfId="0" applyBorder="1"/>
    <xf numFmtId="0" fontId="2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/>
    <xf numFmtId="0" fontId="2" fillId="0" borderId="8" xfId="0" applyFont="1" applyBorder="1"/>
    <xf numFmtId="0" fontId="0" fillId="0" borderId="9" xfId="0" applyBorder="1"/>
    <xf numFmtId="0" fontId="30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29" fillId="0" borderId="0" xfId="0" applyFont="1" applyBorder="1"/>
    <xf numFmtId="0" fontId="0" fillId="0" borderId="12" xfId="0" applyBorder="1"/>
    <xf numFmtId="0" fontId="29" fillId="0" borderId="7" xfId="0" applyFont="1" applyBorder="1"/>
    <xf numFmtId="0" fontId="0" fillId="0" borderId="13" xfId="0" applyBorder="1"/>
    <xf numFmtId="0" fontId="29" fillId="0" borderId="5" xfId="0" applyFont="1" applyBorder="1"/>
    <xf numFmtId="0" fontId="0" fillId="0" borderId="14" xfId="0" applyBorder="1"/>
    <xf numFmtId="0" fontId="27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34" fillId="0" borderId="6" xfId="0" applyFont="1" applyBorder="1"/>
    <xf numFmtId="0" fontId="1" fillId="0" borderId="6" xfId="0" applyFont="1" applyBorder="1"/>
    <xf numFmtId="0" fontId="1" fillId="0" borderId="12" xfId="0" applyFont="1" applyBorder="1"/>
    <xf numFmtId="0" fontId="35" fillId="0" borderId="7" xfId="0" applyFont="1" applyBorder="1" applyAlignment="1">
      <alignment vertical="top"/>
    </xf>
    <xf numFmtId="0" fontId="27" fillId="0" borderId="7" xfId="0" applyFont="1" applyBorder="1"/>
    <xf numFmtId="0" fontId="29" fillId="0" borderId="3" xfId="0" applyFont="1" applyBorder="1"/>
    <xf numFmtId="0" fontId="0" fillId="0" borderId="21" xfId="0" applyBorder="1"/>
    <xf numFmtId="0" fontId="2" fillId="0" borderId="21" xfId="0" applyFont="1" applyBorder="1"/>
    <xf numFmtId="0" fontId="0" fillId="0" borderId="22" xfId="0" applyBorder="1"/>
    <xf numFmtId="0" fontId="1" fillId="0" borderId="15" xfId="0" applyFont="1" applyBorder="1"/>
    <xf numFmtId="0" fontId="36" fillId="0" borderId="16" xfId="0" applyFont="1" applyBorder="1"/>
    <xf numFmtId="0" fontId="0" fillId="0" borderId="23" xfId="0" applyBorder="1"/>
    <xf numFmtId="0" fontId="37" fillId="0" borderId="23" xfId="0" applyFont="1" applyBorder="1"/>
    <xf numFmtId="0" fontId="37" fillId="0" borderId="5" xfId="0" applyFont="1" applyBorder="1"/>
    <xf numFmtId="0" fontId="36" fillId="0" borderId="6" xfId="0" applyFont="1" applyBorder="1"/>
    <xf numFmtId="0" fontId="1" fillId="0" borderId="0" xfId="0" applyFont="1" applyBorder="1"/>
    <xf numFmtId="0" fontId="37" fillId="0" borderId="0" xfId="0" applyFont="1" applyBorder="1"/>
    <xf numFmtId="0" fontId="36" fillId="0" borderId="0" xfId="0" applyFont="1" applyBorder="1"/>
    <xf numFmtId="0" fontId="0" fillId="0" borderId="0" xfId="0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166" fontId="2" fillId="4" borderId="24" xfId="0" applyNumberFormat="1" applyFont="1" applyFill="1" applyBorder="1" applyAlignment="1" applyProtection="1">
      <alignment horizontal="center"/>
      <protection locked="0"/>
    </xf>
    <xf numFmtId="166" fontId="2" fillId="4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</xf>
    <xf numFmtId="0" fontId="6" fillId="0" borderId="0" xfId="0" applyFont="1" applyFill="1" applyProtection="1"/>
    <xf numFmtId="0" fontId="3" fillId="0" borderId="1" xfId="0" applyFont="1" applyFill="1" applyBorder="1" applyProtection="1"/>
    <xf numFmtId="0" fontId="4" fillId="2" borderId="1" xfId="0" applyFont="1" applyFill="1" applyBorder="1" applyProtection="1"/>
    <xf numFmtId="0" fontId="4" fillId="0" borderId="1" xfId="0" applyFont="1" applyFill="1" applyBorder="1" applyProtection="1"/>
    <xf numFmtId="0" fontId="4" fillId="0" borderId="0" xfId="0" applyFont="1" applyFill="1" applyProtection="1"/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7" fontId="5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3" borderId="1" xfId="0" applyFont="1" applyFill="1" applyBorder="1" applyAlignment="1" applyProtection="1">
      <alignment horizontal="center"/>
    </xf>
    <xf numFmtId="167" fontId="2" fillId="3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41" fillId="0" borderId="7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38" fillId="0" borderId="0" xfId="0" applyFont="1"/>
    <xf numFmtId="0" fontId="39" fillId="0" borderId="0" xfId="0" applyFont="1"/>
    <xf numFmtId="0" fontId="41" fillId="0" borderId="3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39" fillId="0" borderId="0" xfId="0" applyFont="1" applyAlignment="1"/>
    <xf numFmtId="0" fontId="41" fillId="5" borderId="3" xfId="0" applyFont="1" applyFill="1" applyBorder="1" applyAlignment="1">
      <alignment wrapText="1"/>
    </xf>
    <xf numFmtId="0" fontId="41" fillId="5" borderId="4" xfId="0" applyFont="1" applyFill="1" applyBorder="1" applyAlignment="1">
      <alignment wrapText="1"/>
    </xf>
    <xf numFmtId="0" fontId="41" fillId="5" borderId="10" xfId="0" applyFont="1" applyFill="1" applyBorder="1" applyAlignment="1">
      <alignment wrapText="1"/>
    </xf>
    <xf numFmtId="0" fontId="39" fillId="5" borderId="10" xfId="0" applyFont="1" applyFill="1" applyBorder="1" applyAlignment="1">
      <alignment horizontal="center"/>
    </xf>
    <xf numFmtId="0" fontId="41" fillId="5" borderId="9" xfId="0" applyFont="1" applyFill="1" applyBorder="1" applyAlignment="1">
      <alignment horizontal="center" wrapText="1"/>
    </xf>
    <xf numFmtId="0" fontId="41" fillId="5" borderId="25" xfId="0" applyFont="1" applyFill="1" applyBorder="1" applyAlignment="1">
      <alignment wrapText="1"/>
    </xf>
    <xf numFmtId="0" fontId="41" fillId="5" borderId="26" xfId="0" applyFont="1" applyFill="1" applyBorder="1" applyAlignment="1">
      <alignment wrapText="1"/>
    </xf>
    <xf numFmtId="0" fontId="41" fillId="5" borderId="27" xfId="0" applyFont="1" applyFill="1" applyBorder="1" applyAlignment="1">
      <alignment wrapText="1"/>
    </xf>
    <xf numFmtId="0" fontId="41" fillId="5" borderId="27" xfId="0" applyFont="1" applyFill="1" applyBorder="1" applyAlignment="1">
      <alignment horizontal="center" wrapText="1"/>
    </xf>
    <xf numFmtId="0" fontId="41" fillId="5" borderId="28" xfId="0" applyFont="1" applyFill="1" applyBorder="1" applyAlignment="1">
      <alignment horizontal="center" wrapText="1"/>
    </xf>
    <xf numFmtId="0" fontId="41" fillId="5" borderId="7" xfId="0" applyFont="1" applyFill="1" applyBorder="1" applyAlignment="1">
      <alignment wrapText="1"/>
    </xf>
    <xf numFmtId="0" fontId="41" fillId="5" borderId="0" xfId="0" applyFont="1" applyFill="1" applyBorder="1" applyAlignment="1">
      <alignment wrapText="1"/>
    </xf>
    <xf numFmtId="0" fontId="41" fillId="5" borderId="8" xfId="0" applyFont="1" applyFill="1" applyBorder="1" applyAlignment="1">
      <alignment wrapText="1"/>
    </xf>
    <xf numFmtId="0" fontId="42" fillId="5" borderId="8" xfId="0" applyFont="1" applyFill="1" applyBorder="1" applyAlignment="1">
      <alignment horizontal="center" wrapText="1"/>
    </xf>
    <xf numFmtId="0" fontId="42" fillId="5" borderId="29" xfId="0" applyFont="1" applyFill="1" applyBorder="1" applyAlignment="1">
      <alignment horizontal="center" wrapText="1"/>
    </xf>
    <xf numFmtId="0" fontId="42" fillId="5" borderId="30" xfId="0" applyFont="1" applyFill="1" applyBorder="1" applyAlignment="1">
      <alignment horizontal="center" wrapText="1"/>
    </xf>
    <xf numFmtId="0" fontId="42" fillId="5" borderId="31" xfId="0" applyFont="1" applyFill="1" applyBorder="1" applyAlignment="1">
      <alignment horizontal="center" wrapText="1"/>
    </xf>
    <xf numFmtId="0" fontId="42" fillId="5" borderId="11" xfId="0" applyFont="1" applyFill="1" applyBorder="1" applyAlignment="1">
      <alignment horizontal="center" wrapText="1"/>
    </xf>
    <xf numFmtId="0" fontId="42" fillId="5" borderId="32" xfId="0" applyFont="1" applyFill="1" applyBorder="1" applyAlignment="1">
      <alignment horizontal="center" wrapText="1"/>
    </xf>
    <xf numFmtId="0" fontId="42" fillId="5" borderId="27" xfId="0" applyFont="1" applyFill="1" applyBorder="1" applyAlignment="1">
      <alignment horizontal="center" wrapText="1"/>
    </xf>
    <xf numFmtId="0" fontId="42" fillId="5" borderId="33" xfId="0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 wrapText="1"/>
    </xf>
    <xf numFmtId="0" fontId="42" fillId="5" borderId="35" xfId="0" applyFont="1" applyFill="1" applyBorder="1" applyAlignment="1">
      <alignment horizontal="center" wrapText="1"/>
    </xf>
    <xf numFmtId="0" fontId="42" fillId="5" borderId="36" xfId="0" applyFont="1" applyFill="1" applyBorder="1" applyAlignment="1">
      <alignment horizontal="center" wrapText="1"/>
    </xf>
    <xf numFmtId="0" fontId="42" fillId="5" borderId="28" xfId="0" applyFont="1" applyFill="1" applyBorder="1" applyAlignment="1">
      <alignment horizontal="center" wrapText="1"/>
    </xf>
    <xf numFmtId="0" fontId="41" fillId="0" borderId="0" xfId="0" applyFont="1"/>
    <xf numFmtId="0" fontId="41" fillId="0" borderId="0" xfId="0" applyFont="1" applyBorder="1" applyAlignment="1">
      <alignment horizontal="center" wrapText="1"/>
    </xf>
    <xf numFmtId="0" fontId="41" fillId="0" borderId="7" xfId="0" applyFont="1" applyBorder="1" applyAlignment="1">
      <alignment horizontal="left" indent="1"/>
    </xf>
    <xf numFmtId="0" fontId="41" fillId="0" borderId="0" xfId="0" applyFont="1" applyBorder="1" applyAlignment="1">
      <alignment horizontal="left" indent="1"/>
    </xf>
    <xf numFmtId="0" fontId="41" fillId="0" borderId="8" xfId="0" applyFont="1" applyBorder="1" applyAlignment="1">
      <alignment horizontal="left" indent="1"/>
    </xf>
    <xf numFmtId="0" fontId="41" fillId="0" borderId="0" xfId="0" applyFont="1" applyAlignment="1"/>
    <xf numFmtId="0" fontId="41" fillId="0" borderId="0" xfId="0" applyFont="1" applyBorder="1" applyAlignment="1"/>
    <xf numFmtId="0" fontId="41" fillId="0" borderId="8" xfId="0" applyFont="1" applyBorder="1" applyAlignment="1"/>
    <xf numFmtId="0" fontId="44" fillId="0" borderId="7" xfId="0" applyFont="1" applyBorder="1" applyAlignment="1">
      <alignment horizontal="left" wrapText="1" indent="1"/>
    </xf>
    <xf numFmtId="0" fontId="44" fillId="0" borderId="0" xfId="0" applyFont="1" applyBorder="1" applyAlignment="1">
      <alignment horizontal="left" wrapText="1" indent="1"/>
    </xf>
    <xf numFmtId="0" fontId="44" fillId="0" borderId="8" xfId="0" applyFont="1" applyBorder="1" applyAlignment="1">
      <alignment horizontal="left" wrapText="1" indent="1"/>
    </xf>
    <xf numFmtId="0" fontId="41" fillId="0" borderId="6" xfId="0" applyFont="1" applyBorder="1" applyAlignment="1">
      <alignment wrapText="1"/>
    </xf>
    <xf numFmtId="0" fontId="41" fillId="0" borderId="12" xfId="0" applyFont="1" applyBorder="1" applyAlignment="1">
      <alignment wrapText="1"/>
    </xf>
    <xf numFmtId="0" fontId="41" fillId="5" borderId="27" xfId="0" applyFont="1" applyFill="1" applyBorder="1" applyAlignment="1">
      <alignment horizontal="left" wrapText="1"/>
    </xf>
    <xf numFmtId="0" fontId="41" fillId="5" borderId="25" xfId="0" applyFont="1" applyFill="1" applyBorder="1" applyAlignment="1">
      <alignment horizontal="right" wrapText="1"/>
    </xf>
    <xf numFmtId="0" fontId="2" fillId="0" borderId="3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38" xfId="0" applyBorder="1"/>
    <xf numFmtId="0" fontId="0" fillId="0" borderId="39" xfId="0" applyBorder="1"/>
    <xf numFmtId="0" fontId="0" fillId="0" borderId="31" xfId="0" applyBorder="1"/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9" fillId="0" borderId="16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1" fillId="0" borderId="41" xfId="0" applyFont="1" applyBorder="1" applyAlignment="1" applyProtection="1">
      <alignment wrapText="1"/>
      <protection locked="0"/>
    </xf>
    <xf numFmtId="0" fontId="41" fillId="0" borderId="42" xfId="0" applyFont="1" applyBorder="1" applyAlignment="1" applyProtection="1">
      <alignment wrapText="1"/>
      <protection locked="0"/>
    </xf>
    <xf numFmtId="0" fontId="41" fillId="0" borderId="1" xfId="0" applyFont="1" applyBorder="1" applyAlignment="1" applyProtection="1">
      <alignment wrapText="1"/>
      <protection locked="0"/>
    </xf>
    <xf numFmtId="0" fontId="41" fillId="0" borderId="43" xfId="0" applyFont="1" applyBorder="1" applyAlignment="1" applyProtection="1">
      <alignment wrapText="1"/>
      <protection locked="0"/>
    </xf>
    <xf numFmtId="0" fontId="41" fillId="0" borderId="44" xfId="0" applyFont="1" applyBorder="1" applyAlignment="1" applyProtection="1">
      <alignment wrapText="1"/>
      <protection locked="0"/>
    </xf>
    <xf numFmtId="0" fontId="41" fillId="0" borderId="45" xfId="0" applyFont="1" applyBorder="1" applyAlignment="1" applyProtection="1">
      <alignment wrapText="1"/>
      <protection locked="0"/>
    </xf>
    <xf numFmtId="0" fontId="41" fillId="0" borderId="39" xfId="0" applyFont="1" applyBorder="1" applyAlignment="1" applyProtection="1">
      <alignment wrapText="1"/>
      <protection locked="0"/>
    </xf>
    <xf numFmtId="0" fontId="41" fillId="0" borderId="46" xfId="0" applyFont="1" applyBorder="1" applyAlignment="1" applyProtection="1">
      <alignment wrapText="1"/>
      <protection locked="0"/>
    </xf>
    <xf numFmtId="0" fontId="41" fillId="0" borderId="47" xfId="0" applyFont="1" applyBorder="1" applyAlignment="1" applyProtection="1">
      <alignment wrapText="1"/>
      <protection locked="0"/>
    </xf>
    <xf numFmtId="0" fontId="41" fillId="0" borderId="48" xfId="0" applyFont="1" applyBorder="1" applyAlignment="1" applyProtection="1">
      <alignment wrapText="1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</xf>
    <xf numFmtId="0" fontId="3" fillId="0" borderId="0" xfId="0" applyFont="1"/>
    <xf numFmtId="0" fontId="6" fillId="0" borderId="0" xfId="0" applyFont="1"/>
    <xf numFmtId="0" fontId="9" fillId="0" borderId="0" xfId="1" applyAlignment="1" applyProtection="1"/>
    <xf numFmtId="169" fontId="4" fillId="0" borderId="0" xfId="0" applyNumberFormat="1" applyFont="1" applyFill="1" applyAlignment="1" applyProtection="1">
      <alignment horizontal="center"/>
      <protection hidden="1"/>
    </xf>
    <xf numFmtId="169" fontId="2" fillId="0" borderId="0" xfId="0" applyNumberFormat="1" applyFont="1" applyProtection="1">
      <protection hidden="1"/>
    </xf>
    <xf numFmtId="0" fontId="2" fillId="0" borderId="1" xfId="0" applyFont="1" applyBorder="1" applyProtection="1">
      <protection hidden="1"/>
    </xf>
    <xf numFmtId="169" fontId="2" fillId="0" borderId="1" xfId="0" applyNumberFormat="1" applyFont="1" applyBorder="1" applyProtection="1">
      <protection hidden="1"/>
    </xf>
    <xf numFmtId="0" fontId="2" fillId="0" borderId="1" xfId="0" applyFont="1" applyFill="1" applyBorder="1" applyProtection="1">
      <protection hidden="1"/>
    </xf>
    <xf numFmtId="169" fontId="2" fillId="0" borderId="1" xfId="0" applyNumberFormat="1" applyFont="1" applyFill="1" applyBorder="1" applyProtection="1">
      <protection hidden="1"/>
    </xf>
    <xf numFmtId="168" fontId="5" fillId="0" borderId="1" xfId="0" applyNumberFormat="1" applyFont="1" applyBorder="1" applyProtection="1">
      <protection hidden="1"/>
    </xf>
    <xf numFmtId="169" fontId="5" fillId="0" borderId="1" xfId="0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169" fontId="5" fillId="0" borderId="1" xfId="0" applyNumberFormat="1" applyFont="1" applyFill="1" applyBorder="1"/>
    <xf numFmtId="170" fontId="4" fillId="0" borderId="0" xfId="0" applyNumberFormat="1" applyFont="1" applyFill="1" applyAlignment="1" applyProtection="1">
      <alignment horizontal="center"/>
      <protection hidden="1"/>
    </xf>
    <xf numFmtId="170" fontId="2" fillId="0" borderId="0" xfId="0" applyNumberFormat="1" applyFont="1" applyProtection="1">
      <protection hidden="1"/>
    </xf>
    <xf numFmtId="170" fontId="2" fillId="0" borderId="1" xfId="0" applyNumberFormat="1" applyFont="1" applyBorder="1" applyProtection="1">
      <protection hidden="1"/>
    </xf>
    <xf numFmtId="170" fontId="5" fillId="0" borderId="1" xfId="0" applyNumberFormat="1" applyFont="1" applyBorder="1" applyProtection="1">
      <protection hidden="1"/>
    </xf>
    <xf numFmtId="170" fontId="2" fillId="0" borderId="1" xfId="0" applyNumberFormat="1" applyFont="1" applyFill="1" applyBorder="1" applyProtection="1">
      <protection hidden="1"/>
    </xf>
    <xf numFmtId="170" fontId="5" fillId="6" borderId="1" xfId="0" applyNumberFormat="1" applyFont="1" applyFill="1" applyBorder="1" applyProtection="1">
      <protection hidden="1"/>
    </xf>
    <xf numFmtId="170" fontId="5" fillId="6" borderId="1" xfId="0" applyNumberFormat="1" applyFont="1" applyFill="1" applyBorder="1"/>
    <xf numFmtId="171" fontId="4" fillId="0" borderId="0" xfId="0" applyNumberFormat="1" applyFont="1" applyFill="1"/>
    <xf numFmtId="171" fontId="6" fillId="0" borderId="0" xfId="0" applyNumberFormat="1" applyFont="1" applyFill="1"/>
    <xf numFmtId="171" fontId="3" fillId="0" borderId="1" xfId="0" applyNumberFormat="1" applyFont="1" applyFill="1" applyBorder="1" applyAlignment="1">
      <alignment horizontal="center"/>
    </xf>
    <xf numFmtId="171" fontId="4" fillId="2" borderId="1" xfId="0" applyNumberFormat="1" applyFont="1" applyFill="1" applyBorder="1" applyAlignment="1">
      <alignment horizontal="center"/>
    </xf>
    <xf numFmtId="171" fontId="4" fillId="0" borderId="1" xfId="0" applyNumberFormat="1" applyFont="1" applyFill="1" applyBorder="1" applyAlignment="1">
      <alignment horizontal="center"/>
    </xf>
    <xf numFmtId="171" fontId="4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left"/>
    </xf>
    <xf numFmtId="172" fontId="4" fillId="0" borderId="1" xfId="0" applyNumberFormat="1" applyFont="1" applyFill="1" applyBorder="1" applyAlignment="1">
      <alignment horizontal="center" vertical="top"/>
    </xf>
    <xf numFmtId="172" fontId="4" fillId="2" borderId="1" xfId="0" applyNumberFormat="1" applyFont="1" applyFill="1" applyBorder="1" applyAlignment="1">
      <alignment horizontal="center" vertical="top"/>
    </xf>
    <xf numFmtId="172" fontId="4" fillId="2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20" fontId="4" fillId="2" borderId="49" xfId="0" applyNumberFormat="1" applyFont="1" applyFill="1" applyBorder="1" applyAlignment="1">
      <alignment horizontal="center" vertical="top"/>
    </xf>
    <xf numFmtId="172" fontId="4" fillId="2" borderId="50" xfId="0" applyNumberFormat="1" applyFont="1" applyFill="1" applyBorder="1" applyAlignment="1" applyProtection="1">
      <alignment horizontal="center" vertical="top"/>
    </xf>
    <xf numFmtId="1" fontId="4" fillId="2" borderId="37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0" xfId="0" applyFont="1"/>
    <xf numFmtId="172" fontId="0" fillId="0" borderId="0" xfId="0" applyNumberFormat="1"/>
    <xf numFmtId="0" fontId="0" fillId="0" borderId="0" xfId="0" applyNumberFormat="1"/>
    <xf numFmtId="0" fontId="49" fillId="0" borderId="0" xfId="0" applyFont="1"/>
    <xf numFmtId="0" fontId="4" fillId="0" borderId="0" xfId="0" applyFont="1"/>
    <xf numFmtId="0" fontId="29" fillId="4" borderId="1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>
      <alignment horizontal="left"/>
    </xf>
    <xf numFmtId="14" fontId="32" fillId="0" borderId="0" xfId="0" applyNumberFormat="1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29" fillId="4" borderId="1" xfId="0" applyFont="1" applyFill="1" applyBorder="1" applyAlignment="1" applyProtection="1">
      <alignment horizontal="center"/>
    </xf>
    <xf numFmtId="172" fontId="5" fillId="0" borderId="0" xfId="0" applyNumberFormat="1" applyFont="1"/>
    <xf numFmtId="0" fontId="53" fillId="0" borderId="0" xfId="0" applyFont="1"/>
    <xf numFmtId="14" fontId="29" fillId="4" borderId="50" xfId="0" applyNumberFormat="1" applyFont="1" applyFill="1" applyBorder="1" applyAlignment="1" applyProtection="1">
      <alignment horizontal="center"/>
      <protection locked="0"/>
    </xf>
    <xf numFmtId="0" fontId="29" fillId="0" borderId="37" xfId="0" applyFont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protection hidden="1"/>
    </xf>
    <xf numFmtId="0" fontId="0" fillId="0" borderId="51" xfId="0" applyBorder="1" applyAlignment="1"/>
    <xf numFmtId="0" fontId="0" fillId="0" borderId="37" xfId="0" applyBorder="1" applyAlignment="1"/>
    <xf numFmtId="0" fontId="45" fillId="8" borderId="1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8" fontId="5" fillId="9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50" fillId="0" borderId="0" xfId="0" applyFont="1" applyFill="1" applyAlignment="1">
      <alignment horizontal="center" vertical="center" wrapText="1"/>
    </xf>
    <xf numFmtId="0" fontId="51" fillId="0" borderId="0" xfId="0" applyFont="1" applyAlignment="1">
      <alignment wrapText="1"/>
    </xf>
    <xf numFmtId="172" fontId="4" fillId="2" borderId="50" xfId="0" applyNumberFormat="1" applyFont="1" applyFill="1" applyBorder="1" applyAlignment="1">
      <alignment horizontal="center" vertical="top"/>
    </xf>
    <xf numFmtId="172" fontId="0" fillId="0" borderId="51" xfId="0" applyNumberFormat="1" applyBorder="1" applyAlignment="1"/>
    <xf numFmtId="172" fontId="0" fillId="0" borderId="37" xfId="0" applyNumberFormat="1" applyBorder="1" applyAlignment="1"/>
    <xf numFmtId="172" fontId="4" fillId="0" borderId="50" xfId="0" applyNumberFormat="1" applyFont="1" applyFill="1" applyBorder="1" applyAlignment="1">
      <alignment horizontal="center" vertical="top"/>
    </xf>
    <xf numFmtId="172" fontId="4" fillId="0" borderId="51" xfId="0" applyNumberFormat="1" applyFont="1" applyFill="1" applyBorder="1" applyAlignment="1">
      <alignment horizontal="center" vertical="top"/>
    </xf>
    <xf numFmtId="172" fontId="4" fillId="0" borderId="37" xfId="0" applyNumberFormat="1" applyFont="1" applyFill="1" applyBorder="1" applyAlignment="1">
      <alignment horizontal="center" vertical="top"/>
    </xf>
    <xf numFmtId="0" fontId="31" fillId="0" borderId="31" xfId="0" applyFont="1" applyBorder="1" applyAlignment="1"/>
    <xf numFmtId="0" fontId="0" fillId="0" borderId="2" xfId="0" applyBorder="1" applyAlignment="1"/>
    <xf numFmtId="0" fontId="0" fillId="0" borderId="53" xfId="0" applyBorder="1" applyAlignment="1"/>
    <xf numFmtId="0" fontId="31" fillId="0" borderId="52" xfId="0" applyFont="1" applyBorder="1" applyAlignment="1"/>
    <xf numFmtId="0" fontId="31" fillId="0" borderId="51" xfId="0" applyFont="1" applyBorder="1" applyAlignment="1"/>
    <xf numFmtId="0" fontId="31" fillId="0" borderId="41" xfId="0" applyFont="1" applyBorder="1" applyAlignment="1"/>
    <xf numFmtId="0" fontId="38" fillId="0" borderId="0" xfId="0" applyFont="1" applyAlignment="1">
      <alignment horizontal="center" vertical="center"/>
    </xf>
    <xf numFmtId="0" fontId="41" fillId="0" borderId="5" xfId="0" applyFont="1" applyBorder="1" applyAlignment="1">
      <alignment horizontal="left" wrapText="1" indent="1"/>
    </xf>
    <xf numFmtId="0" fontId="41" fillId="0" borderId="6" xfId="0" applyFont="1" applyBorder="1" applyAlignment="1">
      <alignment horizontal="left" wrapText="1" indent="1"/>
    </xf>
    <xf numFmtId="0" fontId="25" fillId="5" borderId="25" xfId="0" applyFont="1" applyFill="1" applyBorder="1" applyAlignment="1">
      <alignment horizontal="center" wrapText="1"/>
    </xf>
    <xf numFmtId="0" fontId="27" fillId="5" borderId="26" xfId="0" applyFont="1" applyFill="1" applyBorder="1" applyAlignment="1">
      <alignment horizontal="center" wrapText="1"/>
    </xf>
    <xf numFmtId="0" fontId="27" fillId="5" borderId="27" xfId="0" applyFont="1" applyFill="1" applyBorder="1" applyAlignment="1">
      <alignment horizontal="center" wrapText="1"/>
    </xf>
    <xf numFmtId="0" fontId="41" fillId="0" borderId="7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41" fillId="0" borderId="0" xfId="0" applyFont="1" applyBorder="1" applyAlignment="1" applyProtection="1">
      <alignment horizontal="left" indent="1"/>
      <protection locked="0"/>
    </xf>
    <xf numFmtId="0" fontId="44" fillId="0" borderId="0" xfId="0" applyFont="1" applyBorder="1" applyAlignment="1" applyProtection="1">
      <alignment horizontal="left" indent="1"/>
      <protection locked="0"/>
    </xf>
    <xf numFmtId="0" fontId="3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1" fillId="0" borderId="7" xfId="0" applyFont="1" applyBorder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31" fillId="0" borderId="39" xfId="0" applyFont="1" applyBorder="1" applyAlignment="1"/>
    <xf numFmtId="0" fontId="0" fillId="0" borderId="46" xfId="0" applyBorder="1" applyAlignment="1"/>
    <xf numFmtId="0" fontId="0" fillId="0" borderId="47" xfId="0" applyBorder="1" applyAlignment="1"/>
    <xf numFmtId="0" fontId="41" fillId="5" borderId="7" xfId="0" applyFont="1" applyFill="1" applyBorder="1" applyAlignment="1">
      <alignment wrapText="1"/>
    </xf>
    <xf numFmtId="0" fontId="41" fillId="5" borderId="0" xfId="0" applyFont="1" applyFill="1" applyBorder="1" applyAlignment="1">
      <alignment wrapText="1"/>
    </xf>
    <xf numFmtId="0" fontId="41" fillId="5" borderId="8" xfId="0" applyFont="1" applyFill="1" applyBorder="1" applyAlignment="1">
      <alignment wrapText="1"/>
    </xf>
    <xf numFmtId="0" fontId="38" fillId="0" borderId="0" xfId="0" applyFont="1" applyAlignment="1">
      <alignment horizontal="center"/>
    </xf>
    <xf numFmtId="0" fontId="41" fillId="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4" fillId="0" borderId="7" xfId="0" applyFont="1" applyBorder="1" applyAlignment="1">
      <alignment horizontal="left" wrapText="1" indent="1"/>
    </xf>
    <xf numFmtId="0" fontId="44" fillId="0" borderId="0" xfId="0" applyFont="1" applyBorder="1" applyAlignment="1">
      <alignment horizontal="left" wrapText="1" indent="1"/>
    </xf>
    <xf numFmtId="0" fontId="44" fillId="0" borderId="8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43" fillId="5" borderId="25" xfId="0" applyFont="1" applyFill="1" applyBorder="1" applyAlignment="1">
      <alignment wrapText="1"/>
    </xf>
    <xf numFmtId="0" fontId="43" fillId="5" borderId="26" xfId="0" applyFont="1" applyFill="1" applyBorder="1" applyAlignment="1">
      <alignment wrapText="1"/>
    </xf>
    <xf numFmtId="0" fontId="43" fillId="5" borderId="27" xfId="0" applyFont="1" applyFill="1" applyBorder="1" applyAlignment="1">
      <alignment wrapText="1"/>
    </xf>
    <xf numFmtId="0" fontId="41" fillId="5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9" fillId="0" borderId="9" xfId="0" applyFont="1" applyBorder="1" applyAlignment="1">
      <alignment horizontal="center" textRotation="90"/>
    </xf>
    <xf numFmtId="0" fontId="29" fillId="0" borderId="13" xfId="0" applyFont="1" applyBorder="1" applyAlignment="1">
      <alignment horizontal="center" textRotation="90"/>
    </xf>
    <xf numFmtId="0" fontId="0" fillId="0" borderId="54" xfId="0" applyBorder="1" applyAlignment="1"/>
    <xf numFmtId="0" fontId="0" fillId="0" borderId="18" xfId="0" applyBorder="1" applyAlignment="1"/>
    <xf numFmtId="0" fontId="3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9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10" fillId="0" borderId="7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" fontId="2" fillId="0" borderId="56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3" xfId="0" applyFont="1" applyBorder="1" applyAlignment="1">
      <alignment horizontal="center" textRotation="90"/>
    </xf>
    <xf numFmtId="0" fontId="29" fillId="0" borderId="5" xfId="0" applyFont="1" applyBorder="1" applyAlignment="1">
      <alignment horizontal="center" textRotation="90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47625</xdr:rowOff>
    </xdr:from>
    <xdr:to>
      <xdr:col>15</xdr:col>
      <xdr:colOff>533400</xdr:colOff>
      <xdr:row>0</xdr:row>
      <xdr:rowOff>838200</xdr:rowOff>
    </xdr:to>
    <xdr:pic>
      <xdr:nvPicPr>
        <xdr:cNvPr id="226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7625"/>
          <a:ext cx="952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161925</xdr:rowOff>
    </xdr:from>
    <xdr:to>
      <xdr:col>1</xdr:col>
      <xdr:colOff>1076325</xdr:colOff>
      <xdr:row>0</xdr:row>
      <xdr:rowOff>809625</xdr:rowOff>
    </xdr:to>
    <xdr:pic>
      <xdr:nvPicPr>
        <xdr:cNvPr id="22619" name="Picture 5" descr="Kerl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1304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0</xdr:row>
      <xdr:rowOff>38100</xdr:rowOff>
    </xdr:from>
    <xdr:to>
      <xdr:col>31</xdr:col>
      <xdr:colOff>190500</xdr:colOff>
      <xdr:row>2</xdr:row>
      <xdr:rowOff>219075</xdr:rowOff>
    </xdr:to>
    <xdr:pic>
      <xdr:nvPicPr>
        <xdr:cNvPr id="215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38100"/>
          <a:ext cx="14763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314325</xdr:colOff>
      <xdr:row>3</xdr:row>
      <xdr:rowOff>123825</xdr:rowOff>
    </xdr:to>
    <xdr:pic>
      <xdr:nvPicPr>
        <xdr:cNvPr id="21528" name="Grafik 3" descr="DFBL_SH_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19050</xdr:rowOff>
    </xdr:from>
    <xdr:to>
      <xdr:col>10</xdr:col>
      <xdr:colOff>1028700</xdr:colOff>
      <xdr:row>3</xdr:row>
      <xdr:rowOff>57150</xdr:rowOff>
    </xdr:to>
    <xdr:pic>
      <xdr:nvPicPr>
        <xdr:cNvPr id="368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123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5603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27685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 editAs="oneCell">
    <xdr:from>
      <xdr:col>3</xdr:col>
      <xdr:colOff>0</xdr:colOff>
      <xdr:row>0</xdr:row>
      <xdr:rowOff>19050</xdr:rowOff>
    </xdr:from>
    <xdr:to>
      <xdr:col>5</xdr:col>
      <xdr:colOff>790575</xdr:colOff>
      <xdr:row>9</xdr:row>
      <xdr:rowOff>28575</xdr:rowOff>
    </xdr:to>
    <xdr:pic>
      <xdr:nvPicPr>
        <xdr:cNvPr id="25639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"/>
          <a:ext cx="18478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257175</xdr:colOff>
      <xdr:row>34</xdr:row>
      <xdr:rowOff>0</xdr:rowOff>
    </xdr:from>
    <xdr:to>
      <xdr:col>8</xdr:col>
      <xdr:colOff>514350</xdr:colOff>
      <xdr:row>40</xdr:row>
      <xdr:rowOff>38100</xdr:rowOff>
    </xdr:to>
    <xdr:pic>
      <xdr:nvPicPr>
        <xdr:cNvPr id="256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647700</xdr:colOff>
      <xdr:row>40</xdr:row>
      <xdr:rowOff>38100</xdr:rowOff>
    </xdr:to>
    <xdr:pic>
      <xdr:nvPicPr>
        <xdr:cNvPr id="25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6627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29590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228600</xdr:colOff>
      <xdr:row>34</xdr:row>
      <xdr:rowOff>0</xdr:rowOff>
    </xdr:from>
    <xdr:to>
      <xdr:col>8</xdr:col>
      <xdr:colOff>495300</xdr:colOff>
      <xdr:row>40</xdr:row>
      <xdr:rowOff>38100</xdr:rowOff>
    </xdr:to>
    <xdr:pic>
      <xdr:nvPicPr>
        <xdr:cNvPr id="266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76390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647700</xdr:colOff>
      <xdr:row>40</xdr:row>
      <xdr:rowOff>38100</xdr:rowOff>
    </xdr:to>
    <xdr:pic>
      <xdr:nvPicPr>
        <xdr:cNvPr id="266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762000</xdr:colOff>
      <xdr:row>9</xdr:row>
      <xdr:rowOff>9525</xdr:rowOff>
    </xdr:to>
    <xdr:pic>
      <xdr:nvPicPr>
        <xdr:cNvPr id="26665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18478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7651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29590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266700</xdr:colOff>
      <xdr:row>34</xdr:row>
      <xdr:rowOff>0</xdr:rowOff>
    </xdr:from>
    <xdr:to>
      <xdr:col>8</xdr:col>
      <xdr:colOff>495300</xdr:colOff>
      <xdr:row>40</xdr:row>
      <xdr:rowOff>38100</xdr:rowOff>
    </xdr:to>
    <xdr:pic>
      <xdr:nvPicPr>
        <xdr:cNvPr id="276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647700</xdr:colOff>
      <xdr:row>40</xdr:row>
      <xdr:rowOff>38100</xdr:rowOff>
    </xdr:to>
    <xdr:pic>
      <xdr:nvPicPr>
        <xdr:cNvPr id="276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809625</xdr:colOff>
      <xdr:row>9</xdr:row>
      <xdr:rowOff>9525</xdr:rowOff>
    </xdr:to>
    <xdr:pic>
      <xdr:nvPicPr>
        <xdr:cNvPr id="27689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18478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8675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32447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209550</xdr:colOff>
      <xdr:row>34</xdr:row>
      <xdr:rowOff>0</xdr:rowOff>
    </xdr:from>
    <xdr:to>
      <xdr:col>8</xdr:col>
      <xdr:colOff>466725</xdr:colOff>
      <xdr:row>40</xdr:row>
      <xdr:rowOff>38100</xdr:rowOff>
    </xdr:to>
    <xdr:pic>
      <xdr:nvPicPr>
        <xdr:cNvPr id="287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647700</xdr:colOff>
      <xdr:row>40</xdr:row>
      <xdr:rowOff>38100</xdr:rowOff>
    </xdr:to>
    <xdr:pic>
      <xdr:nvPicPr>
        <xdr:cNvPr id="287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771525</xdr:colOff>
      <xdr:row>9</xdr:row>
      <xdr:rowOff>9525</xdr:rowOff>
    </xdr:to>
    <xdr:pic>
      <xdr:nvPicPr>
        <xdr:cNvPr id="28713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18478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29699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257800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257175</xdr:colOff>
      <xdr:row>34</xdr:row>
      <xdr:rowOff>0</xdr:rowOff>
    </xdr:from>
    <xdr:to>
      <xdr:col>8</xdr:col>
      <xdr:colOff>533400</xdr:colOff>
      <xdr:row>40</xdr:row>
      <xdr:rowOff>38100</xdr:rowOff>
    </xdr:to>
    <xdr:pic>
      <xdr:nvPicPr>
        <xdr:cNvPr id="297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647700</xdr:colOff>
      <xdr:row>40</xdr:row>
      <xdr:rowOff>38100</xdr:rowOff>
    </xdr:to>
    <xdr:pic>
      <xdr:nvPicPr>
        <xdr:cNvPr id="297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790575</xdr:colOff>
      <xdr:row>9</xdr:row>
      <xdr:rowOff>9525</xdr:rowOff>
    </xdr:to>
    <xdr:pic>
      <xdr:nvPicPr>
        <xdr:cNvPr id="29737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18478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30723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32447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228600</xdr:colOff>
      <xdr:row>34</xdr:row>
      <xdr:rowOff>0</xdr:rowOff>
    </xdr:from>
    <xdr:to>
      <xdr:col>8</xdr:col>
      <xdr:colOff>466725</xdr:colOff>
      <xdr:row>40</xdr:row>
      <xdr:rowOff>38100</xdr:rowOff>
    </xdr:to>
    <xdr:pic>
      <xdr:nvPicPr>
        <xdr:cNvPr id="307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647700</xdr:colOff>
      <xdr:row>40</xdr:row>
      <xdr:rowOff>38100</xdr:rowOff>
    </xdr:to>
    <xdr:pic>
      <xdr:nvPicPr>
        <xdr:cNvPr id="307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781050</xdr:colOff>
      <xdr:row>9</xdr:row>
      <xdr:rowOff>9525</xdr:rowOff>
    </xdr:to>
    <xdr:pic>
      <xdr:nvPicPr>
        <xdr:cNvPr id="30761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18478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47625</xdr:rowOff>
    </xdr:from>
    <xdr:to>
      <xdr:col>8</xdr:col>
      <xdr:colOff>180975</xdr:colOff>
      <xdr:row>15</xdr:row>
      <xdr:rowOff>104775</xdr:rowOff>
    </xdr:to>
    <xdr:sp macro="" textlink="">
      <xdr:nvSpPr>
        <xdr:cNvPr id="31747" name="WordArt 3"/>
        <xdr:cNvSpPr>
          <a:spLocks noChangeArrowheads="1" noChangeShapeType="1" noTextEdit="1"/>
        </xdr:cNvSpPr>
      </xdr:nvSpPr>
      <xdr:spPr bwMode="auto">
        <a:xfrm>
          <a:off x="533400" y="1504950"/>
          <a:ext cx="53054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97"/>
            </a:avLst>
          </a:prstTxWarp>
        </a:bodyPr>
        <a:lstStyle/>
        <a:p>
          <a:pPr algn="ctr" rtl="0"/>
          <a:r>
            <a:rPr lang="de-DE" sz="8000" b="1" i="1" kern="10" spc="0">
              <a:ln w="63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Times New Roman"/>
              <a:cs typeface="Times New Roman"/>
            </a:rPr>
            <a:t>URKUNDE</a:t>
          </a:r>
        </a:p>
      </xdr:txBody>
    </xdr:sp>
    <xdr:clientData/>
  </xdr:twoCellAnchor>
  <xdr:twoCellAnchor>
    <xdr:from>
      <xdr:col>6</xdr:col>
      <xdr:colOff>219075</xdr:colOff>
      <xdr:row>34</xdr:row>
      <xdr:rowOff>0</xdr:rowOff>
    </xdr:from>
    <xdr:to>
      <xdr:col>8</xdr:col>
      <xdr:colOff>485775</xdr:colOff>
      <xdr:row>40</xdr:row>
      <xdr:rowOff>38100</xdr:rowOff>
    </xdr:to>
    <xdr:pic>
      <xdr:nvPicPr>
        <xdr:cNvPr id="317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647700</xdr:colOff>
      <xdr:row>40</xdr:row>
      <xdr:rowOff>38100</xdr:rowOff>
    </xdr:to>
    <xdr:pic>
      <xdr:nvPicPr>
        <xdr:cNvPr id="317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14097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771525</xdr:colOff>
      <xdr:row>9</xdr:row>
      <xdr:rowOff>9525</xdr:rowOff>
    </xdr:to>
    <xdr:pic>
      <xdr:nvPicPr>
        <xdr:cNvPr id="31785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18478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khard_maack@gmx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B51"/>
  <sheetViews>
    <sheetView zoomScale="75" zoomScaleNormal="100" workbookViewId="0">
      <selection activeCell="Q9" sqref="Q9"/>
    </sheetView>
  </sheetViews>
  <sheetFormatPr baseColWidth="10" defaultColWidth="11.5703125" defaultRowHeight="15.75" x14ac:dyDescent="0.25"/>
  <cols>
    <col min="1" max="16384" width="11.5703125" style="235"/>
  </cols>
  <sheetData>
    <row r="1" spans="1:1" ht="20.25" x14ac:dyDescent="0.3">
      <c r="A1" s="236" t="s">
        <v>129</v>
      </c>
    </row>
    <row r="2" spans="1:1" ht="20.25" x14ac:dyDescent="0.3">
      <c r="A2" s="236" t="s">
        <v>170</v>
      </c>
    </row>
    <row r="4" spans="1:1" x14ac:dyDescent="0.25">
      <c r="A4" s="235" t="s">
        <v>130</v>
      </c>
    </row>
    <row r="6" spans="1:1" x14ac:dyDescent="0.25">
      <c r="A6" s="235" t="s">
        <v>132</v>
      </c>
    </row>
    <row r="8" spans="1:1" ht="18" x14ac:dyDescent="0.25">
      <c r="A8" s="275" t="s">
        <v>134</v>
      </c>
    </row>
    <row r="9" spans="1:1" ht="18" x14ac:dyDescent="0.25">
      <c r="A9" s="275" t="s">
        <v>133</v>
      </c>
    </row>
    <row r="11" spans="1:1" x14ac:dyDescent="0.25">
      <c r="A11" s="235" t="s">
        <v>171</v>
      </c>
    </row>
    <row r="12" spans="1:1" x14ac:dyDescent="0.25">
      <c r="A12" s="235" t="s">
        <v>172</v>
      </c>
    </row>
    <row r="14" spans="1:1" x14ac:dyDescent="0.25">
      <c r="A14" s="235" t="s">
        <v>135</v>
      </c>
    </row>
    <row r="15" spans="1:1" x14ac:dyDescent="0.25">
      <c r="A15" s="235" t="s">
        <v>136</v>
      </c>
    </row>
    <row r="17" spans="1:2" x14ac:dyDescent="0.25">
      <c r="A17" s="235" t="s">
        <v>168</v>
      </c>
    </row>
    <row r="18" spans="1:2" x14ac:dyDescent="0.25">
      <c r="A18" s="235" t="s">
        <v>169</v>
      </c>
    </row>
    <row r="19" spans="1:2" s="276" customFormat="1" ht="15" x14ac:dyDescent="0.2">
      <c r="A19" s="276" t="s">
        <v>173</v>
      </c>
    </row>
    <row r="21" spans="1:2" x14ac:dyDescent="0.25">
      <c r="A21" s="235" t="s">
        <v>137</v>
      </c>
    </row>
    <row r="23" spans="1:2" x14ac:dyDescent="0.25">
      <c r="A23" s="235" t="s">
        <v>150</v>
      </c>
    </row>
    <row r="25" spans="1:2" s="276" customFormat="1" ht="15" x14ac:dyDescent="0.2">
      <c r="A25" s="276" t="s">
        <v>124</v>
      </c>
      <c r="B25" s="276" t="s">
        <v>138</v>
      </c>
    </row>
    <row r="26" spans="1:2" s="276" customFormat="1" ht="15" x14ac:dyDescent="0.2">
      <c r="A26" s="276" t="s">
        <v>140</v>
      </c>
      <c r="B26" s="276" t="s">
        <v>145</v>
      </c>
    </row>
    <row r="27" spans="1:2" s="276" customFormat="1" ht="15" x14ac:dyDescent="0.2">
      <c r="A27" s="276" t="s">
        <v>125</v>
      </c>
      <c r="B27" s="276" t="s">
        <v>139</v>
      </c>
    </row>
    <row r="28" spans="1:2" s="276" customFormat="1" ht="15" x14ac:dyDescent="0.2">
      <c r="A28" s="276" t="s">
        <v>141</v>
      </c>
      <c r="B28" s="276" t="s">
        <v>146</v>
      </c>
    </row>
    <row r="29" spans="1:2" s="276" customFormat="1" ht="15" x14ac:dyDescent="0.2">
      <c r="A29" s="276" t="s">
        <v>142</v>
      </c>
      <c r="B29" s="276" t="s">
        <v>147</v>
      </c>
    </row>
    <row r="30" spans="1:2" s="276" customFormat="1" ht="15" x14ac:dyDescent="0.2">
      <c r="A30" s="276" t="s">
        <v>143</v>
      </c>
      <c r="B30" s="276" t="s">
        <v>148</v>
      </c>
    </row>
    <row r="31" spans="1:2" s="276" customFormat="1" ht="15" x14ac:dyDescent="0.2">
      <c r="A31" s="276" t="s">
        <v>144</v>
      </c>
      <c r="B31" s="276" t="s">
        <v>149</v>
      </c>
    </row>
    <row r="33" spans="1:2" x14ac:dyDescent="0.25">
      <c r="A33" s="235" t="s">
        <v>155</v>
      </c>
    </row>
    <row r="35" spans="1:2" x14ac:dyDescent="0.25">
      <c r="A35" s="235" t="s">
        <v>151</v>
      </c>
    </row>
    <row r="36" spans="1:2" x14ac:dyDescent="0.25">
      <c r="A36" s="235" t="s">
        <v>152</v>
      </c>
    </row>
    <row r="37" spans="1:2" x14ac:dyDescent="0.25">
      <c r="A37" s="235" t="s">
        <v>156</v>
      </c>
      <c r="B37" s="235" t="s">
        <v>154</v>
      </c>
    </row>
    <row r="38" spans="1:2" x14ac:dyDescent="0.25">
      <c r="A38" s="235" t="s">
        <v>157</v>
      </c>
      <c r="B38" s="235" t="s">
        <v>153</v>
      </c>
    </row>
    <row r="39" spans="1:2" x14ac:dyDescent="0.25">
      <c r="A39" s="235" t="s">
        <v>158</v>
      </c>
      <c r="B39" s="237" t="s">
        <v>159</v>
      </c>
    </row>
    <row r="42" spans="1:2" x14ac:dyDescent="0.25">
      <c r="A42" s="235" t="s">
        <v>181</v>
      </c>
    </row>
    <row r="43" spans="1:2" x14ac:dyDescent="0.25">
      <c r="A43" s="235" t="s">
        <v>179</v>
      </c>
      <c r="B43" s="284" t="s">
        <v>184</v>
      </c>
    </row>
    <row r="44" spans="1:2" x14ac:dyDescent="0.25">
      <c r="B44" s="235" t="s">
        <v>180</v>
      </c>
    </row>
    <row r="46" spans="1:2" x14ac:dyDescent="0.25">
      <c r="B46" s="284" t="s">
        <v>174</v>
      </c>
    </row>
    <row r="47" spans="1:2" x14ac:dyDescent="0.25">
      <c r="B47" s="284" t="s">
        <v>182</v>
      </c>
    </row>
    <row r="48" spans="1:2" x14ac:dyDescent="0.25">
      <c r="B48" s="235" t="s">
        <v>183</v>
      </c>
    </row>
    <row r="50" spans="2:2" x14ac:dyDescent="0.25">
      <c r="B50" s="284" t="s">
        <v>185</v>
      </c>
    </row>
    <row r="51" spans="2:2" x14ac:dyDescent="0.25">
      <c r="B51" s="235" t="s">
        <v>183</v>
      </c>
    </row>
  </sheetData>
  <sheetProtection password="CA83" sheet="1" objects="1" scenarios="1"/>
  <phoneticPr fontId="27" type="noConversion"/>
  <hyperlinks>
    <hyperlink ref="B39" r:id="rId1"/>
  </hyperlinks>
  <pageMargins left="0.78740157499999996" right="0.78740157499999996" top="0.984251969" bottom="0.984251969" header="0.4921259845" footer="0.4921259845"/>
  <pageSetup paperSize="9" scale="83" orientation="portrait" horizontalDpi="4294967295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CA33"/>
  <sheetViews>
    <sheetView tabSelected="1" zoomScale="80" zoomScaleNormal="100" workbookViewId="0">
      <selection activeCell="A6" sqref="A6"/>
    </sheetView>
  </sheetViews>
  <sheetFormatPr baseColWidth="10" defaultRowHeight="12.75" x14ac:dyDescent="0.2"/>
  <cols>
    <col min="1" max="1" width="5.7109375" style="1" bestFit="1" customWidth="1"/>
    <col min="2" max="2" width="20.140625" style="2" customWidth="1"/>
    <col min="3" max="3" width="7" style="1" bestFit="1" customWidth="1"/>
    <col min="4" max="4" width="5.42578125" style="1" customWidth="1"/>
    <col min="5" max="5" width="1" style="1" customWidth="1"/>
    <col min="6" max="6" width="5.42578125" style="1" customWidth="1"/>
    <col min="7" max="7" width="0.42578125" style="14" customWidth="1"/>
    <col min="8" max="8" width="5.42578125" style="14" customWidth="1"/>
    <col min="9" max="9" width="1" style="14" customWidth="1"/>
    <col min="10" max="10" width="5.42578125" style="14" customWidth="1"/>
    <col min="11" max="11" width="0.42578125" style="14" customWidth="1"/>
    <col min="12" max="12" width="5.42578125" style="1" customWidth="1"/>
    <col min="13" max="13" width="0.85546875" style="1" customWidth="1"/>
    <col min="14" max="14" width="5.42578125" style="1" customWidth="1"/>
    <col min="15" max="15" width="0.42578125" style="1" customWidth="1"/>
    <col min="16" max="16" width="9" style="1" customWidth="1"/>
    <col min="17" max="17" width="7.140625" style="11" customWidth="1"/>
    <col min="18" max="18" width="7.28515625" style="11" customWidth="1"/>
    <col min="19" max="19" width="5.28515625" style="1" hidden="1" customWidth="1"/>
    <col min="20" max="20" width="24.28515625" style="2" customWidth="1"/>
    <col min="21" max="21" width="10.5703125" style="1" bestFit="1" customWidth="1"/>
    <col min="22" max="22" width="5.42578125" style="1" customWidth="1"/>
    <col min="23" max="23" width="1" style="1" customWidth="1"/>
    <col min="24" max="24" width="5.42578125" style="1" customWidth="1"/>
    <col min="25" max="25" width="9" style="14" bestFit="1" customWidth="1"/>
    <col min="26" max="26" width="4.7109375" style="14" customWidth="1"/>
    <col min="27" max="27" width="1.28515625" style="14" customWidth="1"/>
    <col min="28" max="28" width="4.85546875" style="14" customWidth="1"/>
    <col min="29" max="29" width="7.85546875" style="14" customWidth="1"/>
    <col min="30" max="30" width="8.7109375" style="118" customWidth="1"/>
    <col min="31" max="31" width="5.140625" style="1" bestFit="1" customWidth="1"/>
    <col min="32" max="32" width="0.85546875" style="1" customWidth="1"/>
    <col min="33" max="33" width="5.140625" style="1" bestFit="1" customWidth="1"/>
    <col min="34" max="34" width="9" style="1" customWidth="1"/>
    <col min="35" max="35" width="10.85546875" style="1" customWidth="1"/>
    <col min="36" max="36" width="10.7109375" style="11" customWidth="1"/>
    <col min="37" max="37" width="10.7109375" style="125" hidden="1" customWidth="1"/>
    <col min="38" max="38" width="11.5703125" style="125" hidden="1" customWidth="1"/>
    <col min="39" max="39" width="6.5703125" style="239" hidden="1" customWidth="1"/>
    <col min="40" max="40" width="9.5703125" style="249" hidden="1" customWidth="1"/>
    <col min="41" max="41" width="6.5703125" style="125" hidden="1" customWidth="1"/>
    <col min="42" max="42" width="9.5703125" style="249" hidden="1" customWidth="1"/>
    <col min="43" max="43" width="6.5703125" style="239" hidden="1" customWidth="1"/>
    <col min="44" max="44" width="9.5703125" style="249" hidden="1" customWidth="1"/>
    <col min="45" max="45" width="6.5703125" style="239" hidden="1" customWidth="1"/>
    <col min="46" max="46" width="9.5703125" style="249" hidden="1" customWidth="1"/>
    <col min="47" max="47" width="6.5703125" style="239" hidden="1" customWidth="1"/>
    <col min="48" max="48" width="9.5703125" style="249" hidden="1" customWidth="1"/>
    <col min="49" max="49" width="6.5703125" style="239" hidden="1" customWidth="1"/>
    <col min="50" max="50" width="9.5703125" style="249" hidden="1" customWidth="1"/>
    <col min="51" max="51" width="6.5703125" style="239" hidden="1" customWidth="1"/>
    <col min="52" max="52" width="9.5703125" style="249" hidden="1" customWidth="1"/>
    <col min="53" max="53" width="6.5703125" style="239" hidden="1" customWidth="1"/>
    <col min="54" max="54" width="9.5703125" style="249" hidden="1" customWidth="1"/>
    <col min="55" max="55" width="2" style="125" hidden="1" customWidth="1"/>
    <col min="56" max="56" width="11" style="125" hidden="1" customWidth="1"/>
    <col min="57" max="57" width="3.140625" style="125" hidden="1" customWidth="1"/>
    <col min="58" max="59" width="2" style="125" hidden="1" customWidth="1"/>
    <col min="60" max="60" width="7.7109375" style="125" hidden="1" customWidth="1"/>
    <col min="61" max="61" width="3.28515625" style="125" customWidth="1"/>
    <col min="62" max="63" width="2" style="125" bestFit="1" customWidth="1"/>
    <col min="64" max="64" width="7.7109375" style="125" customWidth="1"/>
    <col min="65" max="65" width="2.28515625" style="125" customWidth="1"/>
    <col min="66" max="67" width="2" style="125" bestFit="1" customWidth="1"/>
    <col min="68" max="68" width="7.7109375" style="125" customWidth="1"/>
    <col min="69" max="69" width="2.28515625" style="125" customWidth="1"/>
    <col min="70" max="71" width="2" style="125" bestFit="1" customWidth="1"/>
    <col min="72" max="72" width="7.28515625" style="125" bestFit="1" customWidth="1"/>
    <col min="73" max="73" width="2.5703125" style="125" customWidth="1"/>
    <col min="74" max="77" width="7.7109375" style="125" customWidth="1"/>
    <col min="78" max="78" width="7.28515625" style="125" bestFit="1" customWidth="1"/>
    <col min="79" max="16384" width="11.42578125" style="11"/>
  </cols>
  <sheetData>
    <row r="1" spans="1:78" s="4" customFormat="1" ht="67.5" customHeight="1" x14ac:dyDescent="0.4">
      <c r="A1" s="287" t="s">
        <v>27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148"/>
      <c r="S1" s="287" t="s">
        <v>28</v>
      </c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04"/>
      <c r="AL1" s="123"/>
      <c r="AM1" s="238"/>
      <c r="AN1" s="248"/>
      <c r="AO1" s="123"/>
      <c r="AP1" s="248"/>
      <c r="AQ1" s="238"/>
      <c r="AR1" s="248"/>
      <c r="AS1" s="238"/>
      <c r="AT1" s="248"/>
      <c r="AU1" s="238"/>
      <c r="AV1" s="248"/>
      <c r="AW1" s="238"/>
      <c r="AX1" s="248"/>
      <c r="AY1" s="238"/>
      <c r="AZ1" s="248"/>
      <c r="BA1" s="238"/>
      <c r="BB1" s="248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</row>
    <row r="2" spans="1:78" ht="27" x14ac:dyDescent="0.2">
      <c r="A2" s="290">
        <f>U4</f>
        <v>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149"/>
      <c r="AI2" s="295"/>
      <c r="AJ2" s="296"/>
      <c r="AK2" s="205"/>
    </row>
    <row r="3" spans="1:78" ht="17.25" customHeight="1" x14ac:dyDescent="0.2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149"/>
      <c r="T3" s="40" t="s">
        <v>161</v>
      </c>
      <c r="U3" s="298"/>
      <c r="V3" s="299"/>
      <c r="W3" s="299"/>
      <c r="X3" s="299"/>
      <c r="Y3" s="299"/>
      <c r="Z3" s="299"/>
      <c r="AI3" s="29"/>
      <c r="AJ3" s="30"/>
      <c r="AK3" s="205"/>
    </row>
    <row r="4" spans="1:78" ht="27" x14ac:dyDescent="0.2">
      <c r="A4" s="290">
        <f>U6</f>
        <v>0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149"/>
      <c r="T4" s="40" t="s">
        <v>24</v>
      </c>
      <c r="U4" s="298"/>
      <c r="V4" s="299"/>
      <c r="W4" s="299"/>
      <c r="X4" s="299"/>
      <c r="Y4" s="299"/>
      <c r="Z4" s="299"/>
      <c r="AI4" s="29"/>
      <c r="AJ4" s="30"/>
      <c r="AK4" s="205"/>
    </row>
    <row r="5" spans="1:78" ht="18" customHeight="1" x14ac:dyDescent="0.2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149"/>
      <c r="T5" s="40" t="s">
        <v>86</v>
      </c>
      <c r="U5" s="298"/>
      <c r="V5" s="299"/>
      <c r="W5" s="299"/>
      <c r="X5" s="299"/>
      <c r="Y5" s="299"/>
      <c r="Z5" s="299"/>
      <c r="AI5" s="29"/>
      <c r="AJ5" s="30"/>
      <c r="AK5" s="205"/>
    </row>
    <row r="6" spans="1:78" x14ac:dyDescent="0.2">
      <c r="P6" s="29"/>
      <c r="Q6" s="30"/>
      <c r="R6" s="30"/>
      <c r="T6" s="40" t="s">
        <v>25</v>
      </c>
      <c r="U6" s="298"/>
      <c r="V6" s="299"/>
      <c r="W6" s="299"/>
      <c r="X6" s="299"/>
      <c r="Y6" s="299"/>
      <c r="Z6" s="299"/>
      <c r="AI6" s="29"/>
      <c r="AJ6" s="30"/>
      <c r="AK6" s="205"/>
    </row>
    <row r="7" spans="1:78" x14ac:dyDescent="0.2">
      <c r="P7" s="29"/>
      <c r="Q7" s="30"/>
      <c r="R7" s="30"/>
      <c r="T7" s="40" t="s">
        <v>117</v>
      </c>
      <c r="U7" s="146"/>
      <c r="V7" s="147"/>
      <c r="W7" s="147"/>
      <c r="X7" s="147"/>
      <c r="Y7" s="147"/>
      <c r="Z7" s="147"/>
      <c r="AI7" s="29"/>
      <c r="AJ7" s="30"/>
      <c r="AK7" s="205"/>
    </row>
    <row r="8" spans="1:78" x14ac:dyDescent="0.2">
      <c r="P8" s="29"/>
      <c r="Q8" s="30"/>
      <c r="R8" s="30"/>
      <c r="T8" s="40" t="s">
        <v>87</v>
      </c>
      <c r="U8" s="298"/>
      <c r="V8" s="299"/>
      <c r="W8" s="299"/>
      <c r="X8" s="299"/>
      <c r="Y8" s="299"/>
      <c r="Z8" s="299"/>
      <c r="AI8" s="29"/>
      <c r="AJ8" s="30"/>
      <c r="AK8" s="205"/>
    </row>
    <row r="9" spans="1:78" x14ac:dyDescent="0.2">
      <c r="J9" s="135" t="s">
        <v>16</v>
      </c>
      <c r="K9" s="292">
        <f ca="1">TODAY()</f>
        <v>44464</v>
      </c>
      <c r="L9" s="293"/>
      <c r="M9" s="293"/>
      <c r="N9" s="293"/>
      <c r="O9" s="294"/>
      <c r="P9" s="294"/>
      <c r="T9" s="40" t="s">
        <v>85</v>
      </c>
      <c r="U9" s="127">
        <v>2.0833333333333332E-2</v>
      </c>
      <c r="AI9" s="29"/>
      <c r="AJ9" s="30"/>
      <c r="AK9" s="205"/>
    </row>
    <row r="10" spans="1:78" x14ac:dyDescent="0.2">
      <c r="K10" s="121"/>
      <c r="O10" s="120"/>
      <c r="P10" s="29"/>
      <c r="Q10" s="30"/>
      <c r="R10" s="30"/>
      <c r="T10" s="40" t="s">
        <v>18</v>
      </c>
      <c r="U10" s="128">
        <v>3.472222222222222E-3</v>
      </c>
      <c r="AI10" s="29"/>
      <c r="AJ10" s="30"/>
      <c r="AK10" s="205"/>
    </row>
    <row r="11" spans="1:78" x14ac:dyDescent="0.2">
      <c r="K11" s="121"/>
      <c r="O11" s="120"/>
      <c r="P11" s="29"/>
      <c r="Q11" s="30"/>
      <c r="R11" s="30"/>
      <c r="T11" s="40" t="s">
        <v>23</v>
      </c>
      <c r="U11" s="41">
        <f>SUM(U9+U10)</f>
        <v>2.4305555555555552E-2</v>
      </c>
      <c r="AI11" s="29"/>
      <c r="AJ11" s="30"/>
      <c r="AK11" s="205"/>
    </row>
    <row r="12" spans="1:78" x14ac:dyDescent="0.2">
      <c r="K12" s="121"/>
      <c r="O12" s="120"/>
      <c r="P12" s="29"/>
      <c r="Q12" s="30"/>
      <c r="R12" s="30"/>
      <c r="AI12" s="29"/>
      <c r="AJ12" s="30"/>
      <c r="AK12" s="205"/>
    </row>
    <row r="13" spans="1:78" ht="18" x14ac:dyDescent="0.25">
      <c r="K13" s="121"/>
      <c r="O13" s="120"/>
      <c r="P13" s="20"/>
      <c r="T13" s="37" t="s">
        <v>126</v>
      </c>
      <c r="U13" s="136"/>
      <c r="V13" s="136"/>
      <c r="W13" s="136"/>
      <c r="X13" s="136"/>
      <c r="Y13" s="137"/>
      <c r="Z13" s="137"/>
      <c r="AA13" s="137"/>
      <c r="AB13" s="137"/>
      <c r="AC13" s="137"/>
      <c r="AD13" s="138"/>
      <c r="AE13" s="136"/>
      <c r="AF13" s="136"/>
      <c r="AG13" s="136"/>
      <c r="AH13" s="136"/>
      <c r="AI13" s="136"/>
      <c r="AJ13" s="139"/>
    </row>
    <row r="14" spans="1:78" ht="21.6" customHeight="1" x14ac:dyDescent="0.25">
      <c r="A14" s="200" t="s">
        <v>10</v>
      </c>
      <c r="B14" s="200" t="s">
        <v>12</v>
      </c>
      <c r="C14" s="200" t="s">
        <v>15</v>
      </c>
      <c r="D14" s="289" t="s">
        <v>2</v>
      </c>
      <c r="E14" s="289"/>
      <c r="F14" s="289"/>
      <c r="G14" s="201"/>
      <c r="H14" s="289" t="s">
        <v>83</v>
      </c>
      <c r="I14" s="289"/>
      <c r="J14" s="289"/>
      <c r="K14" s="202"/>
      <c r="L14" s="289" t="s">
        <v>1</v>
      </c>
      <c r="M14" s="289"/>
      <c r="N14" s="289"/>
      <c r="O14" s="122"/>
      <c r="P14" s="21"/>
      <c r="R14" s="306" t="s">
        <v>123</v>
      </c>
      <c r="S14" s="140" t="s">
        <v>10</v>
      </c>
      <c r="T14" s="40" t="s">
        <v>26</v>
      </c>
      <c r="U14" s="140" t="s">
        <v>15</v>
      </c>
      <c r="V14" s="297" t="s">
        <v>2</v>
      </c>
      <c r="W14" s="297"/>
      <c r="X14" s="297"/>
      <c r="Y14" s="140" t="s">
        <v>13</v>
      </c>
      <c r="Z14" s="297" t="s">
        <v>83</v>
      </c>
      <c r="AA14" s="297"/>
      <c r="AB14" s="297"/>
      <c r="AC14" s="140" t="s">
        <v>84</v>
      </c>
      <c r="AD14" s="141" t="s">
        <v>90</v>
      </c>
      <c r="AE14" s="297" t="s">
        <v>1</v>
      </c>
      <c r="AF14" s="297"/>
      <c r="AG14" s="297"/>
      <c r="AH14" s="140" t="s">
        <v>11</v>
      </c>
      <c r="AI14" s="140" t="s">
        <v>128</v>
      </c>
      <c r="AJ14" s="139"/>
      <c r="AL14" s="303" t="s">
        <v>160</v>
      </c>
      <c r="AM14" s="304"/>
      <c r="AN14" s="305"/>
      <c r="AO14" s="302">
        <v>1</v>
      </c>
      <c r="AP14" s="302"/>
      <c r="AQ14" s="302">
        <v>2</v>
      </c>
      <c r="AR14" s="302"/>
      <c r="AS14" s="302">
        <v>3</v>
      </c>
      <c r="AT14" s="302"/>
      <c r="AU14" s="302">
        <v>4</v>
      </c>
      <c r="AV14" s="302"/>
      <c r="AW14" s="302">
        <v>5</v>
      </c>
      <c r="AX14" s="302"/>
      <c r="AY14" s="302">
        <v>6</v>
      </c>
      <c r="AZ14" s="302"/>
      <c r="BA14" s="302">
        <v>7</v>
      </c>
      <c r="BB14" s="302"/>
      <c r="BC14" s="240"/>
      <c r="BD14" s="240" t="s">
        <v>122</v>
      </c>
    </row>
    <row r="15" spans="1:78" ht="5.45" customHeight="1" x14ac:dyDescent="0.2">
      <c r="G15" s="1"/>
      <c r="K15" s="121"/>
      <c r="O15" s="121"/>
      <c r="P15" s="20"/>
      <c r="R15" s="306"/>
      <c r="U15" s="136"/>
      <c r="V15" s="136"/>
      <c r="W15" s="136"/>
      <c r="X15" s="136"/>
      <c r="Y15" s="136"/>
      <c r="Z15" s="137"/>
      <c r="AA15" s="137"/>
      <c r="AB15" s="137"/>
      <c r="AC15" s="137"/>
      <c r="AD15" s="138"/>
      <c r="AE15" s="136"/>
      <c r="AF15" s="136"/>
      <c r="AG15" s="136"/>
      <c r="AH15" s="137"/>
      <c r="AI15" s="136"/>
      <c r="AJ15" s="139"/>
      <c r="AL15" s="240"/>
      <c r="AM15" s="241"/>
      <c r="AN15" s="250"/>
      <c r="AO15" s="242"/>
      <c r="AP15" s="252"/>
      <c r="AQ15" s="243"/>
      <c r="AR15" s="252"/>
      <c r="AS15" s="243"/>
      <c r="AT15" s="252"/>
      <c r="AU15" s="243"/>
      <c r="AV15" s="252"/>
      <c r="AW15" s="243"/>
      <c r="AX15" s="252"/>
      <c r="AY15" s="243"/>
      <c r="AZ15" s="252"/>
      <c r="BA15" s="243"/>
      <c r="BB15" s="252"/>
      <c r="BC15" s="240"/>
      <c r="BD15" s="240"/>
    </row>
    <row r="16" spans="1:78" x14ac:dyDescent="0.2">
      <c r="A16" s="13" t="e">
        <f>VLOOKUP(1,Tabelle,1,0)</f>
        <v>#N/A</v>
      </c>
      <c r="B16" s="12" t="e">
        <f>VLOOKUP(1,Tabelle,2,0)</f>
        <v>#N/A</v>
      </c>
      <c r="C16" s="13" t="e">
        <f>VLOOKUP(1,Tabelle,3,0)</f>
        <v>#N/A</v>
      </c>
      <c r="D16" s="13" t="e">
        <f>VLOOKUP(1,Tabelle,4,0)</f>
        <v>#N/A</v>
      </c>
      <c r="E16" s="13" t="s">
        <v>0</v>
      </c>
      <c r="F16" s="13" t="e">
        <f>VLOOKUP(1,Tabelle,6,0)</f>
        <v>#N/A</v>
      </c>
      <c r="G16" s="1"/>
      <c r="H16" s="13" t="e">
        <f>VLOOKUP(1,Tabelle,8,0)</f>
        <v>#N/A</v>
      </c>
      <c r="I16" s="13" t="s">
        <v>0</v>
      </c>
      <c r="J16" s="13" t="e">
        <f>VLOOKUP(1,Tabelle,10,0)</f>
        <v>#N/A</v>
      </c>
      <c r="K16" s="122" t="e">
        <f>VLOOKUP(1,Tabelle,11,0)</f>
        <v>#N/A</v>
      </c>
      <c r="L16" s="13" t="e">
        <f>VLOOKUP(1,Tabelle,13,0)</f>
        <v>#N/A</v>
      </c>
      <c r="M16" s="13" t="s">
        <v>0</v>
      </c>
      <c r="N16" s="13" t="e">
        <f>VLOOKUP(1,Tabelle,15,0)</f>
        <v>#N/A</v>
      </c>
      <c r="O16" s="122" t="e">
        <f>VLOOKUP(1,S16:AI22,16,0)</f>
        <v>#N/A</v>
      </c>
      <c r="P16" s="20"/>
      <c r="R16" s="233">
        <v>1</v>
      </c>
      <c r="S16" s="199">
        <f t="shared" ref="S16:S22" si="0">AK16</f>
        <v>7</v>
      </c>
      <c r="T16" s="119"/>
      <c r="U16" s="142">
        <f>(V16+X16)/2</f>
        <v>0</v>
      </c>
      <c r="V16" s="142">
        <f>Spielplan!U7+Spielplan!U11+Spielplan!U18+Spielplan!U22+Spielplan!U29+Spielplan!U35+Spielplan!W41+Spielplan!W44+Spielplan!W49+Spielplan!W53+Spielplan!W58+Spielplan!W61</f>
        <v>0</v>
      </c>
      <c r="W16" s="142" t="s">
        <v>0</v>
      </c>
      <c r="X16" s="142">
        <f>Spielplan!W7+Spielplan!W11+Spielplan!W18+Spielplan!W22+Spielplan!W29+Spielplan!W35+Spielplan!U41+Spielplan!U44+Spielplan!U49+Spielplan!U53+Spielplan!U58+Spielplan!U61</f>
        <v>0</v>
      </c>
      <c r="Y16" s="142">
        <f>V16-X16</f>
        <v>0</v>
      </c>
      <c r="Z16" s="142">
        <f>Spielplan!Y7+Spielplan!Y11+Spielplan!Y18+Spielplan!Y22+Spielplan!Y29+Spielplan!Y35+Spielplan!AA41+Spielplan!AA44+Spielplan!AA49+Spielplan!AA53+Spielplan!AA58+Spielplan!AA61</f>
        <v>0</v>
      </c>
      <c r="AA16" s="142" t="s">
        <v>0</v>
      </c>
      <c r="AB16" s="142">
        <f>Spielplan!AA7+Spielplan!AA11+Spielplan!AA18+Spielplan!AA22+Spielplan!AA29+Spielplan!AA35+Spielplan!Y41+Spielplan!Y44+Spielplan!Y49+Spielplan!Y53+Spielplan!Y58+Spielplan!Y61</f>
        <v>0</v>
      </c>
      <c r="AC16" s="143">
        <f>Z16-AB16</f>
        <v>0</v>
      </c>
      <c r="AD16" s="203">
        <f>IF(AB16=0,0,Z16/AB16)</f>
        <v>0</v>
      </c>
      <c r="AE16" s="142">
        <f>Spielplan!AD7+Spielplan!AD11+Spielplan!AD18+Spielplan!AD22+Spielplan!AD29+Spielplan!AD35+Spielplan!AF41+Spielplan!AF44+Spielplan!AF49+Spielplan!AF53+Spielplan!AF58+Spielplan!AF61</f>
        <v>0</v>
      </c>
      <c r="AF16" s="142" t="s">
        <v>0</v>
      </c>
      <c r="AG16" s="142">
        <f>Spielplan!AF7+Spielplan!AF11+Spielplan!AF18+Spielplan!AF22+Spielplan!AF29+Spielplan!AF35+Spielplan!AD41+Spielplan!AD44+Spielplan!AD49+Spielplan!AD53+Spielplan!AD58+Spielplan!AD61</f>
        <v>0</v>
      </c>
      <c r="AH16" s="143">
        <f>AE16-AG16</f>
        <v>0</v>
      </c>
      <c r="AI16" s="234">
        <f>AK16</f>
        <v>7</v>
      </c>
      <c r="AJ16" s="139"/>
      <c r="AK16" s="125">
        <f>7-SUM(IF(AL16&gt;AL17,1,0)+IF(AL16&gt;AL18,1,0)+IF(AL16&gt;AL19,1,0)+IF(AL16&gt;AL20,1,0)+IF(AL16&gt;AL21,1,0)+IF(AL16&gt;AL22,1,0))</f>
        <v>7</v>
      </c>
      <c r="AL16" s="244">
        <f t="shared" ref="AL16:AL22" si="1">AM16+AN16+BD16</f>
        <v>6.0000000000000008E-8</v>
      </c>
      <c r="AM16" s="245">
        <f>AQ16+AS16+AU16+AW16+AY16+BA16</f>
        <v>0</v>
      </c>
      <c r="AN16" s="251">
        <f>AR16+AT16+AV16+AX16+AZ16+BB16</f>
        <v>0</v>
      </c>
      <c r="AO16" s="311" t="s">
        <v>121</v>
      </c>
      <c r="AP16" s="312"/>
      <c r="AQ16" s="245">
        <f>SUM(IF(V16&gt;V17,1,0)+IF(Y16&gt;Y17,0.1,0)+IF(AC16&gt;AC17,0.01,0)+IF(AD16&gt;AD17,0.001,0)+IF(AH16&gt;AH17,0.0001,0))</f>
        <v>0</v>
      </c>
      <c r="AR16" s="253">
        <f>IF(AM16=AM17,SUM(IF((Spielplan!Y7+Spielplan!AA49-Spielplan!AA7-Spielplan!Y49)&gt;(Spielplan!AA7+Spielplan!Y49-Spielplan!Y7-Spielplan!AA49),0.00001,0))+IF(ISERROR(((Spielplan!Y7+Spielplan!AA49)/(Spielplan!AA7+Spielplan!Y49))&gt;((Spielplan!AA7+Spielplan!Y49)/(Spielplan!Y7+Spielplan!AA49))),0,IF(((Spielplan!Y7+Spielplan!AA49)/(Spielplan!AA7+Spielplan!Y49))&gt;((Spielplan!AA7+Spielplan!Y49)/(Spielplan!Y7+Spielplan!AA49)),0.000001,0))+IF((Spielplan!AD7+Spielplan!AF49-Spielplan!AF7-Spielplan!AD49)&gt;(Spielplan!AF7+Spielplan!AD49-Spielplan!AD7-Spielplan!AF49),0.0000001,0),0)</f>
        <v>0</v>
      </c>
      <c r="AS16" s="245">
        <f>SUM(IF(V16&gt;V18,1,0)+IF(Y16&gt;Y18,0.1,0)+IF(AC16&gt;AC18,0.01,0)+IF(AD16&gt;AD18,0.001,0)+IF(AH16&gt;AH18,0.0001,0))</f>
        <v>0</v>
      </c>
      <c r="AT16" s="253">
        <f>IF(AM16=AM18,SUM(IF((Spielplan!Y35+Spielplan!AA61-Spielplan!AA35-Spielplan!Y61)&gt;(Spielplan!AA35+Spielplan!Y61-Spielplan!Y35-Spielplan!AA61),0.00001,0))+IF(ISERROR(((Spielplan!Y35+Spielplan!AA61)/(Spielplan!AA35+Spielplan!Y61))&gt;((Spielplan!AA35+Spielplan!Y61)/(Spielplan!Y35+Spielplan!AA61))),0,IF(((Spielplan!Y35+Spielplan!AA61)/(Spielplan!AA35+Spielplan!Y61))&gt;((Spielplan!AA35+Spielplan!Y61)/(Spielplan!Y35+Spielplan!AA61)),0.000001,0))+IF((Spielplan!AD35+Spielplan!AF61-Spielplan!AF35-Spielplan!AD61)&gt;(Spielplan!AF35+Spielplan!AD61-Spielplan!AD35-Spielplan!AF61),0.0000001,0),0)</f>
        <v>0</v>
      </c>
      <c r="AU16" s="245">
        <f>SUM(IF(V16&gt;V19,1,0)+IF(Y16&gt;Y19,0.1,0)+IF(AC16&gt;AC19,0.01,0)+IF(AD16&gt;AD19,0.001,0)+IF(AH16&gt;AH19,0.0001,0))</f>
        <v>0</v>
      </c>
      <c r="AV16" s="253">
        <f>IF(AM16=AM19,SUM(IF((Spielplan!Y22+Spielplan!AA41-Spielplan!AA22-Spielplan!Y41)&gt;(Spielplan!AA22+Spielplan!Y41-Spielplan!Y22-Spielplan!AA41),0.00001,0))+IF(ISERROR(((Spielplan!Y22+Spielplan!AA41)/(Spielplan!AA22+Spielplan!Y41))&gt;((Spielplan!AA22+Spielplan!Y41)/(Spielplan!Y22+Spielplan!AA41))),0,IF(((Spielplan!Y22+Spielplan!AA41)/(Spielplan!AA22+Spielplan!Y41))&gt;((Spielplan!AA22+Spielplan!Y41)/(Spielplan!Y22+Spielplan!AA41)),0.000001,0))+IF((Spielplan!AD22+Spielplan!AF41-Spielplan!AF22-Spielplan!AD41)&gt;(Spielplan!AF22+Spielplan!AD41-Spielplan!AD22-Spielplan!AF41),0.0000001,0),0)</f>
        <v>0</v>
      </c>
      <c r="AW16" s="245">
        <f>SUM(IF(V16&gt;V20,1,0)+IF(Y16&gt;Y20,0.1,0)+IF(AC16&gt;AC20,0.01,0)+IF(AD16&gt;AD20,0.001,0)+IF(AH16&gt;AH20,0.0001,0))</f>
        <v>0</v>
      </c>
      <c r="AX16" s="253">
        <f>IF(AM16=AM20,SUM(IF((Spielplan!Y29+Spielplan!AA53-Spielplan!AA29-Spielplan!Y53)&gt;(Spielplan!AA29+Spielplan!Y53-Spielplan!Y29-Spielplan!AA53),0.00001,0))+IF(ISERROR(((Spielplan!Y29+Spielplan!AA53)/(Spielplan!AA29+Spielplan!Y53))&gt;((Spielplan!AA29+Spielplan!Y53)/(Spielplan!Y29+Spielplan!AA53))),0,IF(((Spielplan!Y29+Spielplan!AA53)/(Spielplan!AA29+Spielplan!Y53))&gt;((Spielplan!AA29+Spielplan!Y53)/(Spielplan!Y29+Spielplan!AA53)),0.000001,0))+IF((Spielplan!AD29+Spielplan!AF53-Spielplan!AF29-Spielplan!AD53)&gt;(Spielplan!AF29+Spielplan!AD53-Spielplan!AD29-Spielplan!AF53),0.0000001,0),0)</f>
        <v>0</v>
      </c>
      <c r="AY16" s="245">
        <f>SUM(IF(V16&gt;V21,1,0)+IF(Y16&gt;Y21,0.1,0)+IF(AC16&gt;AC21,0.01,0)+IF(AD16&gt;AD21,0.001,0)+IF(AH16&gt;AH21,0.0001,0))</f>
        <v>0</v>
      </c>
      <c r="AZ16" s="253">
        <f>IF(AM16=AM21,SUM(IF((Spielplan!Y18+Spielplan!AA44-Spielplan!AA18-Spielplan!Y44)&gt;(Spielplan!AA18+Spielplan!Y44-Spielplan!Y18-Spielplan!AA44),0.00001,0))+IF(ISERROR(((Spielplan!Y18+Spielplan!AA44)/(Spielplan!AA18+Spielplan!Y44))&gt;((Spielplan!AA18+Spielplan!Y44)/(Spielplan!Y18+Spielplan!AA44))),0,IF(((Spielplan!Y18+Spielplan!AA44)/(Spielplan!AA18+Spielplan!Y44))&gt;((Spielplan!AA18+Spielplan!Y44)/(Spielplan!Y18+Spielplan!AA44)),0.000001,0))+IF((Spielplan!AD18+Spielplan!AF44-Spielplan!AF18-Spielplan!AD44)&gt;(Spielplan!AF18+Spielplan!AD44-Spielplan!AD18-Spielplan!AF44),0.0000001,0),0)</f>
        <v>0</v>
      </c>
      <c r="BA16" s="245">
        <f>SUM(IF(V16&gt;V22,1,0)+IF(Y16&gt;Y22,0.1,0)+IF(AC16&gt;AC22,0.01,0)+IF(AD16&gt;AD22,0.001,0)+IF(AH16&gt;AH22,0.0001,0))</f>
        <v>0</v>
      </c>
      <c r="BB16" s="253">
        <f>IF(AM16=AM22,SUM(IF((Spielplan!Y11+Spielplan!AA58-Spielplan!AA11-Spielplan!Y58)&gt;(Spielplan!AA11+Spielplan!Y58-Spielplan!Y11-Spielplan!AA58),0.00001,0))+IF(ISERROR(((Spielplan!Y11+Spielplan!AA58)/(Spielplan!AA11+Spielplan!Y58))&gt;((Spielplan!AA11+Spielplan!Y58)/(Spielplan!Y11+Spielplan!AA58))),0,IF(((Spielplan!Y11+Spielplan!AA58)/(Spielplan!AA11+Spielplan!Y58))&gt;((Spielplan!AA11+Spielplan!Y58)/(Spielplan!Y11+Spielplan!AA58)),0.000001,0))+IF((Spielplan!AD11+Spielplan!AF58-Spielplan!AF11-Spielplan!AD58)&gt;(Spielplan!AF11+Spielplan!AD58-Spielplan!AD11-Spielplan!AF58),0.0000001,0),0)</f>
        <v>0</v>
      </c>
      <c r="BC16" s="246"/>
      <c r="BD16" s="246">
        <f t="shared" ref="BD16:BD22" si="2">(7-R16)*0.00000001</f>
        <v>6.0000000000000008E-8</v>
      </c>
    </row>
    <row r="17" spans="1:79" s="24" customFormat="1" x14ac:dyDescent="0.2">
      <c r="A17" s="13" t="e">
        <f>VLOOKUP(2,Tabelle,1,0)</f>
        <v>#N/A</v>
      </c>
      <c r="B17" s="12" t="e">
        <f>VLOOKUP(2,Tabelle,2,0)</f>
        <v>#N/A</v>
      </c>
      <c r="C17" s="22" t="e">
        <f>VLOOKUP(2,Tabelle,3,0)</f>
        <v>#N/A</v>
      </c>
      <c r="D17" s="22" t="e">
        <f>VLOOKUP(2,Tabelle,4,0)</f>
        <v>#N/A</v>
      </c>
      <c r="E17" s="22" t="s">
        <v>0</v>
      </c>
      <c r="F17" s="22" t="e">
        <f>VLOOKUP(2,Tabelle,6,0)</f>
        <v>#N/A</v>
      </c>
      <c r="G17" s="10"/>
      <c r="H17" s="13" t="e">
        <f>VLOOKUP(2,Tabelle,8,0)</f>
        <v>#N/A</v>
      </c>
      <c r="I17" s="22" t="s">
        <v>0</v>
      </c>
      <c r="J17" s="13" t="e">
        <f>VLOOKUP(2,Tabelle,10,0)</f>
        <v>#N/A</v>
      </c>
      <c r="K17" s="122" t="e">
        <f>VLOOKUP(2,Tabelle,11,0)</f>
        <v>#N/A</v>
      </c>
      <c r="L17" s="22" t="e">
        <f>VLOOKUP(2,Tabelle,13,0)</f>
        <v>#N/A</v>
      </c>
      <c r="M17" s="22" t="s">
        <v>0</v>
      </c>
      <c r="N17" s="22" t="e">
        <f>VLOOKUP(2,Tabelle,15,0)</f>
        <v>#N/A</v>
      </c>
      <c r="O17" s="122" t="e">
        <f>VLOOKUP(2,S16:AI22,16,0)</f>
        <v>#N/A</v>
      </c>
      <c r="P17" s="20"/>
      <c r="R17" s="233">
        <v>1</v>
      </c>
      <c r="S17" s="199">
        <f t="shared" si="0"/>
        <v>7</v>
      </c>
      <c r="T17" s="119"/>
      <c r="U17" s="142">
        <f t="shared" ref="U17:U22" si="3">(V17+X17)/2</f>
        <v>0</v>
      </c>
      <c r="V17" s="144">
        <f>Spielplan!W7+Spielplan!U12+Spielplan!U14+Spielplan!U19+Spielplan!U30+Spielplan!U33+Spielplan!W38+Spielplan!W42+Spielplan!U49+Spielplan!W54+Spielplan!W59+Spielplan!W65</f>
        <v>0</v>
      </c>
      <c r="W17" s="144" t="s">
        <v>0</v>
      </c>
      <c r="X17" s="144">
        <f>Spielplan!U7+Spielplan!W12+Spielplan!W14+Spielplan!W19+Spielplan!W30+Spielplan!W33+Spielplan!U38+Spielplan!U42+Spielplan!W49+Spielplan!U54+Spielplan!U59+Spielplan!U65</f>
        <v>0</v>
      </c>
      <c r="Y17" s="142">
        <f t="shared" ref="Y17:Y22" si="4">V17-X17</f>
        <v>0</v>
      </c>
      <c r="Z17" s="144">
        <f>Spielplan!AA7+Spielplan!Y12+Spielplan!Y14+Spielplan!Y19+Spielplan!Y30+Spielplan!Y33+Spielplan!AA38+Spielplan!AA42+Spielplan!Y49+Spielplan!AA54+Spielplan!AA59+Spielplan!AA65</f>
        <v>0</v>
      </c>
      <c r="AA17" s="144" t="s">
        <v>0</v>
      </c>
      <c r="AB17" s="144">
        <f>Spielplan!Y7+Spielplan!AA12+Spielplan!AA14+Spielplan!AA19+Spielplan!AA30+Spielplan!AA33+Spielplan!Y38+Spielplan!Y42+Spielplan!AA49+Spielplan!Y54+Spielplan!Y59+Spielplan!Y65</f>
        <v>0</v>
      </c>
      <c r="AC17" s="143">
        <f t="shared" ref="AC17:AC22" si="5">Z17-AB17</f>
        <v>0</v>
      </c>
      <c r="AD17" s="203">
        <f t="shared" ref="AD17:AD22" si="6">IF(AB17=0,0,Z17/AB17)</f>
        <v>0</v>
      </c>
      <c r="AE17" s="144">
        <f>Spielplan!AF7+Spielplan!AD12+Spielplan!AD14+Spielplan!AD19+Spielplan!AD30+Spielplan!AD33+Spielplan!AF38+Spielplan!AF42+Spielplan!AD49+Spielplan!AF54+Spielplan!AF59+Spielplan!AF65</f>
        <v>0</v>
      </c>
      <c r="AF17" s="144" t="s">
        <v>0</v>
      </c>
      <c r="AG17" s="144">
        <f>Spielplan!AD7+Spielplan!AF12+Spielplan!AF14+Spielplan!AF19+Spielplan!AF30+Spielplan!AF33+Spielplan!AD38+Spielplan!AD42+Spielplan!AF49+Spielplan!AD54+Spielplan!AD59+Spielplan!AD65</f>
        <v>0</v>
      </c>
      <c r="AH17" s="143">
        <f t="shared" ref="AH17:AH22" si="7">AE17-AG17</f>
        <v>0</v>
      </c>
      <c r="AI17" s="234">
        <f t="shared" ref="AI17:AI22" si="8">AK17</f>
        <v>7</v>
      </c>
      <c r="AJ17" s="145"/>
      <c r="AK17" s="125">
        <f>7-SUM(IF(AL17&gt;AL16,1,0)+IF(AL17&gt;AL18,1,0)+IF(AL17&gt;AL19,1,0)+IF(AL17&gt;AL20,1,0)+IF(AL17&gt;AL21,1,0)+IF(AL17&gt;AL22,1,0))</f>
        <v>7</v>
      </c>
      <c r="AL17" s="244">
        <f t="shared" si="1"/>
        <v>6.0000000000000008E-8</v>
      </c>
      <c r="AM17" s="245">
        <f>AO17+AS17+AU17+AW17+AY17+BA17</f>
        <v>0</v>
      </c>
      <c r="AN17" s="251">
        <f>AP17+AT17+AV17+AX17+AZ17+BB17</f>
        <v>0</v>
      </c>
      <c r="AO17" s="245">
        <f>SUM(IF(V17&gt;V16,1,0)+IF(Y17&gt;Y16,0.1,0)+IF(AC17&gt;AC16,0.01,0)+IF(AD17&gt;AD16,0.001,0)+IF(AH17&gt;AH16,0.0001,0))</f>
        <v>0</v>
      </c>
      <c r="AP17" s="253">
        <f>IF(AM17=AM16,SUM(IF((Spielplan!AA7+Spielplan!Y49-Spielplan!Y7-Spielplan!AA49)&gt;(Spielplan!Y7+Spielplan!AA49-Spielplan!AA7-Spielplan!Y49),0.00001,0))+IF(ISERROR(((Spielplan!AA7+Spielplan!Y49)/(Spielplan!Y7+Spielplan!AA49))&gt;((Spielplan!Y7+Spielplan!AA49)/(Spielplan!AA7+Spielplan!Y49))),0,IF(((Spielplan!AA7+Spielplan!Y49)/(Spielplan!Y7+Spielplan!AA49))&gt;((Spielplan!Y7+Spielplan!AA49)/(Spielplan!AA7+Spielplan!Y49)),0.000001,0))+IF((Spielplan!AF7+Spielplan!AD49-Spielplan!AD7-Spielplan!AF49)&gt;(Spielplan!AD7+Spielplan!AF49-Spielplan!AF7-Spielplan!AD49),0.0000001,0),0)</f>
        <v>0</v>
      </c>
      <c r="AQ17" s="311" t="s">
        <v>121</v>
      </c>
      <c r="AR17" s="312"/>
      <c r="AS17" s="245">
        <f>SUM(IF(V17&gt;V18,1,0)+IF(Y17&gt;Y18,0.1,0)+IF(AC17&gt;AC18,0.01,0)+IF(AD17&gt;AD18,0.001,0)+IF(AH17&gt;AH18,0.0001,0))</f>
        <v>0</v>
      </c>
      <c r="AT17" s="253">
        <f>IF(AM17=AM18,SUM(IF((Spielplan!Y14+Spielplan!AA65-Spielplan!AA14-Spielplan!Y65)&gt;(Spielplan!AA14+Spielplan!Y65-Spielplan!Y14-Spielplan!AA65),0.00001,0))+IF(ISERROR(((Spielplan!Y14+Spielplan!AA65)/(Spielplan!AA14+Spielplan!Y65))&gt;((Spielplan!AA14+Spielplan!Y65)/(Spielplan!Y14+Spielplan!AA65))),0,IF(((Spielplan!Y14+Spielplan!AA65)/(Spielplan!AA14+Spielplan!Y65))&gt;((Spielplan!AA14+Spielplan!Y65)/(Spielplan!Y14+Spielplan!AA65)),0.000001,0))+IF((Spielplan!AD14+Spielplan!AF65-Spielplan!AF14-Spielplan!AD65)&gt;(Spielplan!AF14+Spielplan!AD65-Spielplan!AD14-Spielplan!AF65),0.0000001,0),0)</f>
        <v>0</v>
      </c>
      <c r="AU17" s="245">
        <f>SUM(IF(V17&gt;V19,1,0)+IF(Y17&gt;Y19,0.1,0)+IF(AC17&gt;AC19,0.01,0)+IF(AD17&gt;AD19,0.001,0)+IF(AH17&gt;AH19,0.0001,0))</f>
        <v>0</v>
      </c>
      <c r="AV17" s="253">
        <f>IF(AM17=AM19,SUM(IF((Spielplan!Y30+Spielplan!AA59-Spielplan!AA30-Spielplan!Y59)&gt;(Spielplan!AA30+Spielplan!Y59-Spielplan!Y30-Spielplan!AA59),0.00001,0))+IF(ISERROR(((Spielplan!Y30+Spielplan!AA59)/(Spielplan!AA30+Spielplan!Y59))&gt;((Spielplan!AA30+Spielplan!Y59)/(Spielplan!Y30+Spielplan!AA59))),0,IF(((Spielplan!Y30+Spielplan!AA59)/(Spielplan!AA30+Spielplan!Y59))&gt;((Spielplan!AA30+Spielplan!Y59)/(Spielplan!Y30+Spielplan!AA59)),0.000001,0))+IF((Spielplan!AD30+Spielplan!AF59-Spielplan!AF30-Spielplan!AD59)&gt;(Spielplan!AF30+Spielplan!AD59-Spielplan!AD30-Spielplan!AF59),0.0000001,0),0)</f>
        <v>0</v>
      </c>
      <c r="AW17" s="245">
        <f>SUM(IF(V17&gt;V20,1,0)+IF(Y17&gt;Y20,0.1,0)+IF(AC17&gt;AC20,0.01,0)+IF(AD17&gt;AD20,0.001,0)+IF(AH17&gt;AH20,0.0001,0))</f>
        <v>0</v>
      </c>
      <c r="AX17" s="253">
        <f>IF(AM17=AM20,SUM(IF((Spielplan!Y12+Spielplan!AA42-Spielplan!AA12-Spielplan!Y42)&gt;(Spielplan!AA12+Spielplan!Y42-Spielplan!Y12-Spielplan!AA42),0.00001,0))+IF(ISERROR(((Spielplan!Y12+Spielplan!AA42)/(Spielplan!AA12+Spielplan!Y42))&gt;((Spielplan!AA12+Spielplan!Y42)/(Spielplan!Y12+Spielplan!AA42))),0,IF(((Spielplan!Y12+Spielplan!AA42)/(Spielplan!AA12+Spielplan!Y42))&gt;((Spielplan!AA12+Spielplan!Y42)/(Spielplan!Y12+Spielplan!AA42)),0.000001,0))+IF((Spielplan!AD12+Spielplan!AF42-Spielplan!AF12-Spielplan!AD42)&gt;(Spielplan!AF12+Spielplan!AD42-Spielplan!AD12-Spielplan!AF42),0.0000001,0),0)</f>
        <v>0</v>
      </c>
      <c r="AY17" s="245">
        <f>SUM(IF(V17&gt;V21,1,0)+IF(Y17&gt;Y21,0.1,0)+IF(AC17&gt;AC21,0.01,0)+IF(AD17&gt;AD21,0.001,0)+IF(AH17&gt;AH21,0.0001,0))</f>
        <v>0</v>
      </c>
      <c r="AZ17" s="253">
        <f>IF(AM17=AM21,SUM(IF((Spielplan!Y33+Spielplan!AA54-Spielplan!AA33-Spielplan!Y54)&gt;(Spielplan!AA33+Spielplan!Y54-Spielplan!Y33-Spielplan!AA54),0.00001,0))+IF(ISERROR(((Spielplan!Y33+Spielplan!AA54)/(Spielplan!AA33+Spielplan!Y54))&gt;((Spielplan!AA33+Spielplan!Y54)/(Spielplan!Y33+Spielplan!AA54))),0,IF(((Spielplan!Y33+Spielplan!AA54)/(Spielplan!AA33+Spielplan!Y54))&gt;((Spielplan!AA33+Spielplan!Y54)/(Spielplan!Y33+Spielplan!AA54)),0.000001,0))+IF((Spielplan!AD33+Spielplan!AF54-Spielplan!AF33-Spielplan!AD54)&gt;(Spielplan!AF33+Spielplan!AD54-Spielplan!AD33-Spielplan!AF54),0.0000001,0),0)</f>
        <v>0</v>
      </c>
      <c r="BA17" s="245">
        <f>SUM(IF(V17&gt;V22,1,0)+IF(Y17&gt;Y22,0.1,0)+IF(AC17&gt;AC22,0.01,0)+IF(AD17&gt;AD22,0.001,0)+IF(AH17&gt;AH22,0.0001,0))</f>
        <v>0</v>
      </c>
      <c r="BB17" s="253">
        <f>IF(AM17=AM22,SUM(IF((Spielplan!Y19+Spielplan!AA38-Spielplan!AA19-Spielplan!Y38)&gt;(Spielplan!AA19+Spielplan!Y38-Spielplan!Y19-Spielplan!AA38),0.00001,0))+IF(ISERROR(((Spielplan!Y19+Spielplan!AA38)/(Spielplan!AA19+Spielplan!Y38))&gt;((Spielplan!AA19+Spielplan!Y38)/(Spielplan!Y19+Spielplan!AA38))),0,IF(((Spielplan!Y19+Spielplan!AA38)/(Spielplan!AA19+Spielplan!Y38))&gt;((Spielplan!AA19+Spielplan!Y38)/(Spielplan!Y19+Spielplan!AA38)),0.000001,0))+IF((Spielplan!AD19+Spielplan!AF38-Spielplan!AF19-Spielplan!AD38)&gt;(Spielplan!AF19+Spielplan!AD38-Spielplan!AD19-Spielplan!AF38),0.0000001,0),0)</f>
        <v>0</v>
      </c>
      <c r="BC17" s="246"/>
      <c r="BD17" s="246">
        <f t="shared" si="2"/>
        <v>6.0000000000000008E-8</v>
      </c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6"/>
    </row>
    <row r="18" spans="1:79" s="24" customFormat="1" x14ac:dyDescent="0.2">
      <c r="A18" s="13" t="e">
        <f>VLOOKUP(3,Tabelle,1,0)</f>
        <v>#N/A</v>
      </c>
      <c r="B18" s="23" t="e">
        <f>VLOOKUP(3,Tabelle,2,0)</f>
        <v>#N/A</v>
      </c>
      <c r="C18" s="22" t="e">
        <f>VLOOKUP(3,Tabelle,3,0)</f>
        <v>#N/A</v>
      </c>
      <c r="D18" s="22" t="e">
        <f>VLOOKUP(3,Tabelle,4,0)</f>
        <v>#N/A</v>
      </c>
      <c r="E18" s="22" t="s">
        <v>0</v>
      </c>
      <c r="F18" s="22" t="e">
        <f>VLOOKUP(3,Tabelle,6,0)</f>
        <v>#N/A</v>
      </c>
      <c r="G18" s="10"/>
      <c r="H18" s="13" t="e">
        <f>VLOOKUP(3,Tabelle,8,0)</f>
        <v>#N/A</v>
      </c>
      <c r="I18" s="22" t="s">
        <v>0</v>
      </c>
      <c r="J18" s="13" t="e">
        <f>VLOOKUP(3,Tabelle,10,0)</f>
        <v>#N/A</v>
      </c>
      <c r="K18" s="122" t="e">
        <f>VLOOKUP(3,Tabelle,11,0)</f>
        <v>#N/A</v>
      </c>
      <c r="L18" s="22" t="e">
        <f>VLOOKUP(3,Tabelle,13,0)</f>
        <v>#N/A</v>
      </c>
      <c r="M18" s="22" t="s">
        <v>0</v>
      </c>
      <c r="N18" s="22" t="e">
        <f>VLOOKUP(3,Tabelle,15,0)</f>
        <v>#N/A</v>
      </c>
      <c r="O18" s="122" t="e">
        <f>VLOOKUP(3,S16:AI22,16,0)</f>
        <v>#N/A</v>
      </c>
      <c r="P18" s="20"/>
      <c r="R18" s="233">
        <v>1</v>
      </c>
      <c r="S18" s="199">
        <f t="shared" si="0"/>
        <v>7</v>
      </c>
      <c r="T18" s="119"/>
      <c r="U18" s="142">
        <f t="shared" si="3"/>
        <v>0</v>
      </c>
      <c r="V18" s="144">
        <f>Spielplan!U9+Spielplan!W14+Spielplan!U17+Spielplan!U23+Spielplan!U32+Spielplan!W35+Spielplan!W39+Spielplan!W43+Spielplan!W51+Spielplan!W57+Spielplan!U61+Spielplan!U65</f>
        <v>0</v>
      </c>
      <c r="W18" s="144" t="s">
        <v>0</v>
      </c>
      <c r="X18" s="144">
        <f>Spielplan!W9+Spielplan!U14+Spielplan!W17+Spielplan!W23+Spielplan!W32+Spielplan!U35+Spielplan!U39+Spielplan!U43+Spielplan!U51+Spielplan!U57+Spielplan!W61+Spielplan!W65</f>
        <v>0</v>
      </c>
      <c r="Y18" s="142">
        <f t="shared" si="4"/>
        <v>0</v>
      </c>
      <c r="Z18" s="144">
        <f>Spielplan!Y9+Spielplan!AA14+Spielplan!Y17+Spielplan!Y23+Spielplan!Y32+Spielplan!AA35+Spielplan!AA39+Spielplan!AA43+Spielplan!AA51+Spielplan!AA57+Spielplan!Y61+Spielplan!Y65</f>
        <v>0</v>
      </c>
      <c r="AA18" s="144" t="s">
        <v>0</v>
      </c>
      <c r="AB18" s="144">
        <f>Spielplan!AA9+Spielplan!Y14+Spielplan!AA17+Spielplan!AA23+Spielplan!AA32+Spielplan!Y35+Spielplan!Y39+Spielplan!Y43+Spielplan!Y51+Spielplan!Y57+Spielplan!AA61+Spielplan!AA65</f>
        <v>0</v>
      </c>
      <c r="AC18" s="143">
        <f t="shared" si="5"/>
        <v>0</v>
      </c>
      <c r="AD18" s="203">
        <f t="shared" si="6"/>
        <v>0</v>
      </c>
      <c r="AE18" s="144">
        <f>Spielplan!AD9+Spielplan!AF14+Spielplan!AD17+Spielplan!AD23+Spielplan!AD32+Spielplan!AF35+Spielplan!AF39+Spielplan!AF43+Spielplan!AF51+Spielplan!AF57+Spielplan!AD61+Spielplan!AD65</f>
        <v>0</v>
      </c>
      <c r="AF18" s="144" t="s">
        <v>0</v>
      </c>
      <c r="AG18" s="144">
        <f>Spielplan!AF9+Spielplan!AD14+Spielplan!AF17+Spielplan!AF23+Spielplan!AF32+Spielplan!AD35+Spielplan!AD39+Spielplan!AD43+Spielplan!AD51+Spielplan!AD57+Spielplan!AF61+Spielplan!AF65</f>
        <v>0</v>
      </c>
      <c r="AH18" s="143">
        <f t="shared" si="7"/>
        <v>0</v>
      </c>
      <c r="AI18" s="234">
        <f t="shared" si="8"/>
        <v>7</v>
      </c>
      <c r="AJ18" s="145"/>
      <c r="AK18" s="125">
        <f>7-SUM(IF(AL18&gt;AL16,1,0)+IF(AL18&gt;AL17,1,0)+IF(AL18&gt;AL19,1,0)+IF(AL18&gt;AL20,1,0)+IF(AL18&gt;AL21,1,0)+IF(AL18&gt;AL22,1,0))</f>
        <v>7</v>
      </c>
      <c r="AL18" s="244">
        <f t="shared" si="1"/>
        <v>6.0000000000000008E-8</v>
      </c>
      <c r="AM18" s="245">
        <f>AO18+AQ18+AU18+AW18+AY18+BA18</f>
        <v>0</v>
      </c>
      <c r="AN18" s="251">
        <f>AP18+AR18+AV18+AX18+AZ18+BB18</f>
        <v>0</v>
      </c>
      <c r="AO18" s="245">
        <f>SUM(IF(V18&gt;V16,1,0)+IF(Y18&gt;Y16,0.1,0)+IF(AC18&gt;AC16,0.01,0)+IF(AD18&gt;AD16,0.001,0)+IF(AH18&gt;AH16,0.0001,0))</f>
        <v>0</v>
      </c>
      <c r="AP18" s="253">
        <f>IF(AM18=AM16,SUM(IF((Spielplan!AA35+Spielplan!Y61-Spielplan!Y35-Spielplan!AA61)&gt;(Spielplan!Y35+Spielplan!AA61-Spielplan!AA35-Spielplan!Y61),0.00001,0))+IF(ISERROR(((Spielplan!AA35+Spielplan!Y61)/(Spielplan!Y35+Spielplan!AA61))&gt;((Spielplan!Y35+Spielplan!AA61)/(Spielplan!AA35+Spielplan!Y61))),0,IF(((Spielplan!AA35+Spielplan!Y61)/(Spielplan!Y35+Spielplan!AA61))&gt;((Spielplan!Y35+Spielplan!AA61)/(Spielplan!AA35+Spielplan!Y61)),0.000001,0))+IF((Spielplan!AF35+Spielplan!AD61-Spielplan!AD35-Spielplan!AF61)&gt;(Spielplan!AD35+Spielplan!AF61-Spielplan!AF35-Spielplan!AD61),0.0000001,0),0)</f>
        <v>0</v>
      </c>
      <c r="AQ18" s="247">
        <f>SUM(IF(V18&gt;V17,1,0)+IF(Y18&gt;Y17,0.1,0)+IF(AC18&gt;AC17,0.01,0)+IF(AD18&gt;AD17,0.001,0)+IF(AH18&gt;AH17,0.0001,0))</f>
        <v>0</v>
      </c>
      <c r="AR18" s="253">
        <f>IF(AM18=AM17,SUM(IF((Spielplan!AA14+Spielplan!Y65-Spielplan!Y14-Spielplan!AA65)&gt;(Spielplan!Y14+Spielplan!AA65-Spielplan!AA14-Spielplan!Y65),0.00001,0))+IF(ISERROR(((Spielplan!AA14+Spielplan!Y65)/(Spielplan!Y14+Spielplan!AA65))&gt;((Spielplan!Y14+Spielplan!AA65)/(Spielplan!AA14+Spielplan!Y65))),0,IF(((Spielplan!AA14+Spielplan!Y65)/(Spielplan!Y14+Spielplan!AA65))&gt;((Spielplan!Y14+Spielplan!AA65)/(Spielplan!AA14+Spielplan!Y65)),0.000001,0))+IF((Spielplan!AF14+Spielplan!AD65-Spielplan!AD14-Spielplan!AF65)&gt;(Spielplan!AD14+Spielplan!AF65-Spielplan!AF14-Spielplan!AD65),0.0000001,0),0)</f>
        <v>0</v>
      </c>
      <c r="AS18" s="311" t="s">
        <v>121</v>
      </c>
      <c r="AT18" s="312"/>
      <c r="AU18" s="245">
        <f>SUM(IF(V18&gt;V19,1,0)+IF(Y18&gt;Y19,0.1,0)+IF(AC18&gt;AC19,0.01,0)+IF(AD18&gt;AD19,0.001,0)+IF(AH18&gt;AH19,0.0001,0))</f>
        <v>0</v>
      </c>
      <c r="AV18" s="253">
        <f>IF(AM18=AM19,SUM(IF((Spielplan!Y17+Spielplan!AA51-Spielplan!AA17-Spielplan!Y51)&gt;(Spielplan!AA17+Spielplan!Y51-Spielplan!Y17-Spielplan!AA51),0.00001,0))+IF(ISERROR(((Spielplan!Y17+Spielplan!AA51)/(Spielplan!AA17+Spielplan!Y51))&gt;((Spielplan!AA17+Spielplan!Y51)/(Spielplan!Y17+Spielplan!AA51))),0,IF(((Spielplan!Y17+Spielplan!AA51)/(Spielplan!AA17+Spielplan!Y51))&gt;((Spielplan!AA17+Spielplan!Y51)/(Spielplan!Y17+Spielplan!AA51)),0.000001,0))+IF((Spielplan!AD17+Spielplan!AF51-Spielplan!AF17-Spielplan!AD51)&gt;(Spielplan!AF17+Spielplan!AD51-Spielplan!AD17-Spielplan!AF51),0.0000001,0),0)</f>
        <v>0</v>
      </c>
      <c r="AW18" s="245">
        <f>SUM(IF(V18&gt;V20,1,0)+IF(Y18&gt;Y20,0.1,0)+IF(AC18&gt;AC20,0.01,0)+IF(AD18&gt;AD20,0.001,0)+IF(AH18&gt;AH20,0.0001,0))</f>
        <v>0</v>
      </c>
      <c r="AX18" s="253">
        <f>IF(AM18=AM20,SUM(IF((Spielplan!Y32+Spielplan!AA57-Spielplan!AA32-Spielplan!Y57)&gt;(Spielplan!AA32+Spielplan!Y57-Spielplan!Y32-Spielplan!AA57),0.00001,0))+IF(ISERROR(((Spielplan!Y32+Spielplan!AA57)/(Spielplan!AA32+Spielplan!Y57))&gt;((Spielplan!AA32+Spielplan!Y57)/(Spielplan!Y32+Spielplan!AA57))),0,IF(((Spielplan!Y32+Spielplan!AA57)/(Spielplan!AA32+Spielplan!Y57))&gt;((Spielplan!AA32+Spielplan!Y57)/(Spielplan!Y32+Spielplan!AA57)),0.000001,0))+IF((Spielplan!AD32+Spielplan!AF57-Spielplan!AF32-Spielplan!AD57)&gt;(Spielplan!AF32+Spielplan!AD57-Spielplan!AD32-Spielplan!AF57),0.0000001,0),0)</f>
        <v>0</v>
      </c>
      <c r="AY18" s="245">
        <f>SUM(IF(V18&gt;V21,1,0)+IF(Y18&gt;Y21,0.1,0)+IF(AC18&gt;AC21,0.01,0)+IF(AD18&gt;AD21,0.001,0)+IF(AH18&gt;AH21,0.0001,0))</f>
        <v>0</v>
      </c>
      <c r="AZ18" s="253">
        <f>IF(AM18=AM21,SUM(IF((Spielplan!Y9+Spielplan!AA39-Spielplan!AA9-Spielplan!Y39)&gt;(Spielplan!AA9+Spielplan!Y39-Spielplan!Y9-Spielplan!AA39),0.00001,0))+IF(ISERROR(((Spielplan!Y9+Spielplan!AA39)/(Spielplan!AA9+Spielplan!Y39))&gt;((Spielplan!AA9+Spielplan!Y39)/(Spielplan!Y9+Spielplan!AA39))),0,IF(((Spielplan!Y9+Spielplan!AA39)/(Spielplan!AA9+Spielplan!Y39))&gt;((Spielplan!AA9+Spielplan!Y39)/(Spielplan!Y9+Spielplan!AA39)),0.000001,0))+IF((Spielplan!AD9+Spielplan!AF39-Spielplan!AF9-Spielplan!AD39)&gt;(Spielplan!AF9+Spielplan!AD39-Spielplan!AD9-Spielplan!AF39),0.0000001,0),0)</f>
        <v>0</v>
      </c>
      <c r="BA18" s="245">
        <f>SUM(IF(V18&gt;V22,1,0)+IF(Y18&gt;Y22,0.1,0)+IF(AC18&gt;AC22,0.01,0)+IF(AD18&gt;AD22,0.001,0)+IF(AH18&gt;AH22,0.0001,0))</f>
        <v>0</v>
      </c>
      <c r="BB18" s="253">
        <f>IF(AM18=AM22,SUM(IF((Spielplan!Y23+Spielplan!AA43-Spielplan!AA23-Spielplan!Y43)&gt;(Spielplan!AA23+Spielplan!Y43-Spielplan!Y23-Spielplan!AA43),0.00001,0))+IF(ISERROR(((Spielplan!Y23+Spielplan!AA43)/(Spielplan!AA23+Spielplan!Y43))&gt;((Spielplan!AA23+Spielplan!Y43)/(Spielplan!Y23+Spielplan!AA43))),0,IF(((Spielplan!Y23+Spielplan!AA43)/(Spielplan!AA23+Spielplan!Y43))&gt;((Spielplan!AA23+Spielplan!Y43)/(Spielplan!Y23+Spielplan!AA43)),0.000001,0))+IF((Spielplan!AD23+Spielplan!AF43-Spielplan!AF23-Spielplan!AD43)&gt;(Spielplan!AF23+Spielplan!AD43-Spielplan!AD23-Spielplan!AF43),0.0000001,0),0)</f>
        <v>0</v>
      </c>
      <c r="BC18" s="246"/>
      <c r="BD18" s="246">
        <f t="shared" si="2"/>
        <v>6.0000000000000008E-8</v>
      </c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6"/>
    </row>
    <row r="19" spans="1:79" s="24" customFormat="1" x14ac:dyDescent="0.2">
      <c r="A19" s="13" t="e">
        <f>VLOOKUP(4,Tabelle,1,0)</f>
        <v>#N/A</v>
      </c>
      <c r="B19" s="23" t="e">
        <f>VLOOKUP(4,Tabelle,2,0)</f>
        <v>#N/A</v>
      </c>
      <c r="C19" s="22" t="e">
        <f>VLOOKUP(4,Tabelle,3,0)</f>
        <v>#N/A</v>
      </c>
      <c r="D19" s="22" t="e">
        <f>VLOOKUP(4,Tabelle,4,0)</f>
        <v>#N/A</v>
      </c>
      <c r="E19" s="22" t="s">
        <v>0</v>
      </c>
      <c r="F19" s="22" t="e">
        <f>VLOOKUP(4,Tabelle,6,0)</f>
        <v>#N/A</v>
      </c>
      <c r="G19" s="10"/>
      <c r="H19" s="13" t="e">
        <f>VLOOKUP(4,Tabelle,8,0)</f>
        <v>#N/A</v>
      </c>
      <c r="I19" s="22" t="s">
        <v>0</v>
      </c>
      <c r="J19" s="13" t="e">
        <f>VLOOKUP(4,Tabelle,10,0)</f>
        <v>#N/A</v>
      </c>
      <c r="K19" s="122" t="e">
        <f>VLOOKUP(4,Tabelle,11,0)</f>
        <v>#N/A</v>
      </c>
      <c r="L19" s="22" t="e">
        <f>VLOOKUP(4,Tabelle,13,0)</f>
        <v>#N/A</v>
      </c>
      <c r="M19" s="22" t="s">
        <v>0</v>
      </c>
      <c r="N19" s="22" t="e">
        <f>VLOOKUP(4,Tabelle,15,0)</f>
        <v>#N/A</v>
      </c>
      <c r="O19" s="122" t="e">
        <f>VLOOKUP(4,S16:AI22,16,0)</f>
        <v>#N/A</v>
      </c>
      <c r="P19" s="20"/>
      <c r="R19" s="233">
        <v>1</v>
      </c>
      <c r="S19" s="199">
        <f t="shared" si="0"/>
        <v>7</v>
      </c>
      <c r="T19" s="119"/>
      <c r="U19" s="142">
        <f t="shared" si="3"/>
        <v>0</v>
      </c>
      <c r="V19" s="144">
        <f>Spielplan!U8+Spielplan!U13+Spielplan!W17+Spielplan!W22+Spielplan!W30+Spielplan!U34+Spielplan!W37+Spielplan!U41+Spielplan!U51+Spielplan!W55+Spielplan!U59+Spielplan!W64</f>
        <v>0</v>
      </c>
      <c r="W19" s="144" t="s">
        <v>0</v>
      </c>
      <c r="X19" s="144">
        <f>Spielplan!W8+Spielplan!W13+Spielplan!U17+Spielplan!U22+Spielplan!U30+Spielplan!W34+Spielplan!U37+Spielplan!W41+Spielplan!W51+Spielplan!U55+Spielplan!W59+Spielplan!U64</f>
        <v>0</v>
      </c>
      <c r="Y19" s="142">
        <f t="shared" si="4"/>
        <v>0</v>
      </c>
      <c r="Z19" s="144">
        <f>Spielplan!Y8+Spielplan!Y13+Spielplan!AA17+Spielplan!AA22+Spielplan!AA30+Spielplan!Y34+Spielplan!AA37+Spielplan!Y41+Spielplan!Y51+Spielplan!AA55+Spielplan!Y59+Spielplan!AA64</f>
        <v>0</v>
      </c>
      <c r="AA19" s="144" t="s">
        <v>0</v>
      </c>
      <c r="AB19" s="144">
        <f>Spielplan!AA8+Spielplan!AA13+Spielplan!Y17+Spielplan!Y22+Spielplan!Y30+Spielplan!AA34+Spielplan!Y37+Spielplan!AA41+Spielplan!AA51+Spielplan!Y55+Spielplan!AA59+Spielplan!Y64</f>
        <v>0</v>
      </c>
      <c r="AC19" s="143">
        <f t="shared" si="5"/>
        <v>0</v>
      </c>
      <c r="AD19" s="203">
        <f t="shared" si="6"/>
        <v>0</v>
      </c>
      <c r="AE19" s="144">
        <f>Spielplan!AD8+Spielplan!AD13+Spielplan!AF17+Spielplan!AF22+Spielplan!AF30+Spielplan!AD34+Spielplan!AF37+Spielplan!AD41+Spielplan!AD51+Spielplan!AF55+Spielplan!AD59+Spielplan!AF64</f>
        <v>0</v>
      </c>
      <c r="AF19" s="144" t="s">
        <v>0</v>
      </c>
      <c r="AG19" s="144">
        <f>Spielplan!AF8+Spielplan!AF13+Spielplan!AD17+Spielplan!AD22+Spielplan!AD30+Spielplan!AF34+Spielplan!AD37+Spielplan!AF41+Spielplan!AF51+Spielplan!AD55+Spielplan!AF59+Spielplan!AD64</f>
        <v>0</v>
      </c>
      <c r="AH19" s="143">
        <f t="shared" si="7"/>
        <v>0</v>
      </c>
      <c r="AI19" s="234">
        <f t="shared" si="8"/>
        <v>7</v>
      </c>
      <c r="AJ19" s="145"/>
      <c r="AK19" s="125">
        <f>7-SUM(IF(AL19&gt;AL16,1,0)+IF(AL19&gt;AL17,1,0)+IF(AL19&gt;AL18,1,0)+IF(AL19&gt;AL20,1,0)+IF(AL19&gt;AL21,1,0)+IF(AL19&gt;AL22,1,0))</f>
        <v>7</v>
      </c>
      <c r="AL19" s="244">
        <f t="shared" si="1"/>
        <v>6.0000000000000008E-8</v>
      </c>
      <c r="AM19" s="245">
        <f>AO19+AQ19+AS19+AW19+AY19+BA19</f>
        <v>0</v>
      </c>
      <c r="AN19" s="251">
        <f>AP19+AR19+AT19+AX19+AZ19+BB19</f>
        <v>0</v>
      </c>
      <c r="AO19" s="245">
        <f>SUM(IF(V19&gt;V16,1,0)+IF(Y19&gt;Y16,0.1,0)+IF(AC19&gt;AC16,0.01,0)+IF(AD19&gt;AD16,0.001,0)+IF(AH19&gt;AH16,0.0001,0))</f>
        <v>0</v>
      </c>
      <c r="AP19" s="253">
        <f>IF(AM19=AM16,SUM(IF((Spielplan!AA22+Spielplan!Y41-Spielplan!Y22-Spielplan!AA41)&gt;(Spielplan!Y22+Spielplan!AA41-Spielplan!AA22-Spielplan!Y41),0.00001,0))+IF(ISERROR(((Spielplan!AA22+Spielplan!Y41)/(Spielplan!Y22+Spielplan!AA41))&gt;((Spielplan!Y22+Spielplan!AA41)/(Spielplan!AA22+Spielplan!Y41))),0,IF(((Spielplan!AA22+Spielplan!Y41)/(Spielplan!Y22+Spielplan!AA41))&gt;((Spielplan!Y22+Spielplan!AA41)/(Spielplan!AA22+Spielplan!Y41)),0.000001,0))+IF((Spielplan!AF22+Spielplan!AD41-Spielplan!AD22-Spielplan!AF41)&gt;(Spielplan!AD22+Spielplan!AF41-Spielplan!AF22-Spielplan!AD41),0.0000001,0),0)</f>
        <v>0</v>
      </c>
      <c r="AQ19" s="247">
        <f>SUM(IF(V19&gt;V17,1,0)+IF(Y19&gt;Y17,0.1,0)+IF(AC19&gt;AC17,0.01,0)+IF(AD19&gt;AD17,0.001,0)+IF(AH19&gt;AH17,0.0001,0))</f>
        <v>0</v>
      </c>
      <c r="AR19" s="253">
        <f>IF(AM19=AM17,SUM(IF((Spielplan!AA30+Spielplan!Y59-Spielplan!Y30-Spielplan!AA59)&gt;(Spielplan!Y30+Spielplan!AA59-Spielplan!AA30-Spielplan!Y59),0.00001,0))+IF(ISERROR(((Spielplan!AA30+Spielplan!Y59)/(Spielplan!Y30+Spielplan!AA59))&gt;((Spielplan!Y30+Spielplan!AA59)/(Spielplan!AA30+Spielplan!Y59))),0,IF(((Spielplan!AA30+Spielplan!Y59)/(Spielplan!Y30+Spielplan!AA59))&gt;((Spielplan!Y30+Spielplan!AA59)/(Spielplan!AA30+Spielplan!Y59)),0.000001,0))+IF((Spielplan!AF30+Spielplan!AD59-Spielplan!AD30-Spielplan!AF59)&gt;(Spielplan!AD30+Spielplan!AF59-Spielplan!AF30-Spielplan!AD59),0.0000001,0),0)</f>
        <v>0</v>
      </c>
      <c r="AS19" s="247">
        <f>SUM(IF(V19&gt;V18,1,0)+IF(Y19&gt;Y18,0.1,0)+IF(AC19&gt;AC18,0.01,0)+IF(AD19&gt;AD18,0.001,0)+IF(AH19&gt;AH18,0.0001,0))</f>
        <v>0</v>
      </c>
      <c r="AT19" s="253">
        <f>IF(AM19=AM18,SUM(IF((Spielplan!AA17+Spielplan!Y51-Spielplan!Y17-Spielplan!AA51)&gt;(Spielplan!Y17+Spielplan!AA51-Spielplan!AA17-Spielplan!Y51),0.00001,0))+IF(ISERROR(((Spielplan!AA17+Spielplan!Y51)/(Spielplan!Y17+Spielplan!AA51))&gt;((Spielplan!Y17+Spielplan!AA51)/(Spielplan!AA17+Spielplan!Y51))),0,IF(((Spielplan!AA17+Spielplan!Y51)/(Spielplan!Y17+Spielplan!AA51))&gt;((Spielplan!Y17+Spielplan!AA51)/(Spielplan!AA17+Spielplan!Y51)),0.000001,0))+IF((Spielplan!AF17+Spielplan!AD51-Spielplan!AD17-Spielplan!AF51)&gt;(Spielplan!AD17+Spielplan!AF51-Spielplan!AF17-Spielplan!AD51),0.0000001,0),0)</f>
        <v>0</v>
      </c>
      <c r="AU19" s="311" t="s">
        <v>121</v>
      </c>
      <c r="AV19" s="312"/>
      <c r="AW19" s="245">
        <f>SUM(IF(V19&gt;V20,1,0)+IF(Y19&gt;Y20,0.1,0)+IF(AC19&gt;AC20,0.01,0)+IF(AD19&gt;AD20,0.001,0)+IF(AH19&gt;AH20,0.0001,0))</f>
        <v>0</v>
      </c>
      <c r="AX19" s="253">
        <f>IF(AM19=AM20,SUM(IF((Spielplan!Y8+Spielplan!AA37-Spielplan!AA8-Spielplan!Y37)&gt;(Spielplan!AA8+Spielplan!Y37-Spielplan!Y8-Spielplan!AA37),0.00001,0))+IF(ISERROR(((Spielplan!Y8+Spielplan!AA37)/(Spielplan!AA8+Spielplan!Y37))&gt;((Spielplan!AA8+Spielplan!Y37)/(Spielplan!Y8+Spielplan!AA37))),0,IF(((Spielplan!Y8+Spielplan!AA37)/(Spielplan!AA8+Spielplan!Y37))&gt;((Spielplan!AA8+Spielplan!Y37)/(Spielplan!Y8+Spielplan!AA37)),0.000001,0))+IF((Spielplan!AD8+Spielplan!AF37-Spielplan!AF8-Spielplan!AD37)&gt;(Spielplan!AF8+Spielplan!AD37-Spielplan!AD8-Spielplan!AF37),0.0000001,0),0)</f>
        <v>0</v>
      </c>
      <c r="AY19" s="245">
        <f>SUM(IF(V19&gt;V21,1,0)+IF(Y19&gt;Y21,0.1,0)+IF(AC19&gt;AC21,0.01,0)+IF(AD19&gt;AD21,0.001,0)+IF(AH19&gt;AH21,0.0001,0))</f>
        <v>0</v>
      </c>
      <c r="AZ19" s="253">
        <f>IF(AM19=AM21,SUM(IF((Spielplan!Y13+Spielplan!AA64-Spielplan!AA13-Spielplan!Y64)&gt;(Spielplan!AA13+Spielplan!Y64-Spielplan!Y13-Spielplan!AA64),0.00001,0))+IF(ISERROR(((Spielplan!Y13+Spielplan!AA64)/(Spielplan!AA13+Spielplan!Y64))&gt;((Spielplan!AA13+Spielplan!Y64)/(Spielplan!Y13+Spielplan!AA64))),0,IF(((Spielplan!Y13+Spielplan!AA64)/(Spielplan!AA13+Spielplan!Y64))&gt;((Spielplan!AA13+Spielplan!Y64)/(Spielplan!Y13+Spielplan!AA64)),0.000001,0))+IF((Spielplan!AD13+Spielplan!AF64-Spielplan!AF13-Spielplan!AD64)&gt;(Spielplan!AF13+Spielplan!AD64-Spielplan!AD13-Spielplan!AF64),0.0000001,0),0)</f>
        <v>0</v>
      </c>
      <c r="BA19" s="245">
        <f>SUM(IF(V19&gt;V22,1,0)+IF(Y19&gt;Y22,0.1,0)+IF(AC19&gt;AC22,0.01,0)+IF(AD19&gt;AD22,0.001,0)+IF(AH19&gt;AH22,0.0001,0))</f>
        <v>0</v>
      </c>
      <c r="BB19" s="253">
        <f>IF(AM19=AM22,SUM(IF((Spielplan!Y34+Spielplan!AA55-Spielplan!AA34-Spielplan!Y55)&gt;(Spielplan!AA34+Spielplan!Y55-Spielplan!Y34-Spielplan!AA55),0.00001,0))+IF(ISERROR(((Spielplan!Y34+Spielplan!AA55)/(Spielplan!AA34+Spielplan!Y55))&gt;((Spielplan!AA34+Spielplan!Y55)/(Spielplan!Y34+Spielplan!AA55))),0,IF(((Spielplan!Y34+Spielplan!AA55)/(Spielplan!AA34+Spielplan!Y55))&gt;((Spielplan!AA34+Spielplan!Y55)/(Spielplan!Y34+Spielplan!AA55)),0.000001,0))+IF((Spielplan!AD34+Spielplan!AF55-Spielplan!AF34-Spielplan!AD55)&gt;(Spielplan!AF34+Spielplan!AD55-Spielplan!AD34-Spielplan!AF55),0.0000001,0),0)</f>
        <v>0</v>
      </c>
      <c r="BC19" s="246"/>
      <c r="BD19" s="246">
        <f t="shared" si="2"/>
        <v>6.0000000000000008E-8</v>
      </c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6"/>
    </row>
    <row r="20" spans="1:79" s="24" customFormat="1" x14ac:dyDescent="0.2">
      <c r="A20" s="13" t="e">
        <f>VLOOKUP(5,Tabelle,1,0)</f>
        <v>#N/A</v>
      </c>
      <c r="B20" s="23" t="e">
        <f>VLOOKUP(5,Tabelle,2,0)</f>
        <v>#N/A</v>
      </c>
      <c r="C20" s="22" t="e">
        <f>VLOOKUP(5,Tabelle,3,0)</f>
        <v>#N/A</v>
      </c>
      <c r="D20" s="22" t="e">
        <f>VLOOKUP(5,Tabelle,4,0)</f>
        <v>#N/A</v>
      </c>
      <c r="E20" s="22" t="s">
        <v>0</v>
      </c>
      <c r="F20" s="22" t="e">
        <f>VLOOKUP(5,Tabelle,6,0)</f>
        <v>#N/A</v>
      </c>
      <c r="G20" s="10"/>
      <c r="H20" s="13" t="e">
        <f>VLOOKUP(5,Tabelle,8,0)</f>
        <v>#N/A</v>
      </c>
      <c r="I20" s="22" t="s">
        <v>0</v>
      </c>
      <c r="J20" s="13" t="e">
        <f>VLOOKUP(5,Tabelle,10,0)</f>
        <v>#N/A</v>
      </c>
      <c r="K20" s="122" t="e">
        <f>VLOOKUP(5,Tabelle,11,0)</f>
        <v>#N/A</v>
      </c>
      <c r="L20" s="22" t="e">
        <f>VLOOKUP(5,Tabelle,13,0)</f>
        <v>#N/A</v>
      </c>
      <c r="M20" s="22" t="s">
        <v>0</v>
      </c>
      <c r="N20" s="22" t="e">
        <f>VLOOKUP(5,Tabelle,15,0)</f>
        <v>#N/A</v>
      </c>
      <c r="O20" s="122" t="e">
        <f>VLOOKUP(5,S16:AI22,16,0)</f>
        <v>#N/A</v>
      </c>
      <c r="P20" s="20"/>
      <c r="R20" s="233">
        <v>1</v>
      </c>
      <c r="S20" s="199">
        <f t="shared" si="0"/>
        <v>7</v>
      </c>
      <c r="T20" s="119"/>
      <c r="U20" s="142">
        <f t="shared" si="3"/>
        <v>0</v>
      </c>
      <c r="V20" s="144">
        <f>Spielplan!W8+Spielplan!W12+Spielplan!U15+Spielplan!U21+Spielplan!W29+Spielplan!W32+Spielplan!U37+Spielplan!U42+Spielplan!U53+Spielplan!U57+Spielplan!W60+Spielplan!W63</f>
        <v>0</v>
      </c>
      <c r="W20" s="144" t="s">
        <v>0</v>
      </c>
      <c r="X20" s="144">
        <f>Spielplan!U8+Spielplan!U12+Spielplan!W15+Spielplan!W21+Spielplan!U29+Spielplan!U32+Spielplan!W37+Spielplan!W42+Spielplan!W53+Spielplan!W57+Spielplan!U60+Spielplan!U63</f>
        <v>0</v>
      </c>
      <c r="Y20" s="142">
        <f t="shared" si="4"/>
        <v>0</v>
      </c>
      <c r="Z20" s="144">
        <f>Spielplan!AA8+Spielplan!AA12+Spielplan!Y15+Spielplan!Y21+Spielplan!AA29+Spielplan!AA32+Spielplan!Y37+Spielplan!Y42+Spielplan!Y53+Spielplan!Y57+Spielplan!AA60+Spielplan!AA63</f>
        <v>0</v>
      </c>
      <c r="AA20" s="144" t="s">
        <v>0</v>
      </c>
      <c r="AB20" s="144">
        <f>Spielplan!Y8+Spielplan!Y12+Spielplan!AA15+Spielplan!AA21+Spielplan!Y29+Spielplan!Y32+Spielplan!AA37+Spielplan!AA42+Spielplan!AA53+Spielplan!AA57+Spielplan!Y60+Spielplan!Y63</f>
        <v>0</v>
      </c>
      <c r="AC20" s="143">
        <f t="shared" si="5"/>
        <v>0</v>
      </c>
      <c r="AD20" s="203">
        <f t="shared" si="6"/>
        <v>0</v>
      </c>
      <c r="AE20" s="144">
        <f>Spielplan!AF8+Spielplan!AF12+Spielplan!AD15+Spielplan!AD21+Spielplan!AF29+Spielplan!AF32+Spielplan!AD37+Spielplan!AD42+Spielplan!AD53+Spielplan!AD57+Spielplan!AF60+Spielplan!AF63</f>
        <v>0</v>
      </c>
      <c r="AF20" s="144" t="s">
        <v>0</v>
      </c>
      <c r="AG20" s="144">
        <f>Spielplan!AD8+Spielplan!AD12+Spielplan!AF15+Spielplan!AF21+Spielplan!AD29+Spielplan!AD32+Spielplan!AF37+Spielplan!AF42+Spielplan!AF53+Spielplan!AF57+Spielplan!AD60+Spielplan!AD63</f>
        <v>0</v>
      </c>
      <c r="AH20" s="143">
        <f t="shared" si="7"/>
        <v>0</v>
      </c>
      <c r="AI20" s="234">
        <f t="shared" si="8"/>
        <v>7</v>
      </c>
      <c r="AJ20" s="145"/>
      <c r="AK20" s="125">
        <f>7-SUM(IF(AL20&gt;AL16,1,0)+IF(AL20&gt;AL17,1,0)+IF(AL20&gt;AL18,1,0)+IF(AL20&gt;AL19,1,0)+IF(AL20&gt;AL21,1,0)+IF(AL20&gt;AL22,1,0))</f>
        <v>7</v>
      </c>
      <c r="AL20" s="244">
        <f t="shared" si="1"/>
        <v>6.0000000000000008E-8</v>
      </c>
      <c r="AM20" s="245">
        <f>AO20+AQ20+AS20+AU20+AY20+BA20</f>
        <v>0</v>
      </c>
      <c r="AN20" s="251">
        <f>AP20+AR20+AT20+AV20+AZ20+BB20</f>
        <v>0</v>
      </c>
      <c r="AO20" s="245">
        <f>SUM(IF(V20&gt;V16,1,0)+IF(Y20&gt;Y16,0.1,0)+IF(AC20&gt;AC16,0.01,0)+IF(AD20&gt;AD16,0.001,0)+IF(AH20&gt;AH16,0.0001,0))</f>
        <v>0</v>
      </c>
      <c r="AP20" s="253">
        <f>IF(AM20=AM16,SUM(IF((Spielplan!AA29+Spielplan!Y53-Spielplan!Y29-Spielplan!AA53)&gt;(Spielplan!Y29+Spielplan!AA53-Spielplan!AA29-Spielplan!Y53),0.00001,0))+IF(ISERROR(((Spielplan!AA29+Spielplan!Y53)/(Spielplan!Y29+Spielplan!AA53))&gt;((Spielplan!Y29+Spielplan!AA53)/(Spielplan!AA29+Spielplan!Y53))),0,IF(((Spielplan!AA29+Spielplan!Y53)/(Spielplan!Y29+Spielplan!AA53))&gt;((Spielplan!Y29+Spielplan!AA53)/(Spielplan!AA29+Spielplan!Y53)),0.000001,0))+IF((Spielplan!AF29+Spielplan!AD53-Spielplan!AD29-Spielplan!AF53)&gt;(Spielplan!AD29+Spielplan!AF53-Spielplan!AF29-Spielplan!AD53),0.0000001,0),0)</f>
        <v>0</v>
      </c>
      <c r="AQ20" s="247">
        <f>SUM(IF(V20&gt;V17,1,0)+IF(Y20&gt;Y17,0.1,0)+IF(AC20&gt;AC17,0.01,0)+IF(AD20&gt;AD17,0.001,0)+IF(AH20&gt;AH17,0.0001,0))</f>
        <v>0</v>
      </c>
      <c r="AR20" s="253">
        <f>IF(AM20=AM17,SUM(IF((Spielplan!AA12+Spielplan!Y42-Spielplan!Y12-Spielplan!AA42)&gt;(Spielplan!Y12+Spielplan!AA42-Spielplan!AA12-Spielplan!Y42),0.00001,0))+IF(ISERROR(((Spielplan!AA12+Spielplan!Y42)/(Spielplan!Y12+Spielplan!AA42))&gt;((Spielplan!Y12+Spielplan!AA42)/(Spielplan!AA12+Spielplan!Y42))),0,IF(((Spielplan!AA12+Spielplan!Y42)/(Spielplan!Y12+Spielplan!AA42))&gt;((Spielplan!Y12+Spielplan!AA42)/(Spielplan!AA12+Spielplan!Y42)),0.000001,0))+IF((Spielplan!AF12+Spielplan!AD42-Spielplan!AD12-Spielplan!AF42)&gt;(Spielplan!AD12+Spielplan!AF42-Spielplan!AF12-Spielplan!AD42),0.0000001,0),0)</f>
        <v>0</v>
      </c>
      <c r="AS20" s="247">
        <f>SUM(IF(V20&gt;V18,1,0)+IF(Y20&gt;Y18,0.1,0)+IF(AC20&gt;AC18,0.01,0)+IF(AD20&gt;AD18,0.001,0)+IF(AH20&gt;AH18,0.0001,0))</f>
        <v>0</v>
      </c>
      <c r="AT20" s="253">
        <f>IF(AM20=AM18,SUM(IF((Spielplan!AA32+Spielplan!Y57-Spielplan!Y32-Spielplan!AA57)&gt;(Spielplan!Y32+Spielplan!AA57-Spielplan!AA32-Spielplan!Y57),0.00001,0))+IF(ISERROR(((Spielplan!AA32+Spielplan!Y57)/(Spielplan!Y32+Spielplan!AA57))&gt;((Spielplan!Y32+Spielplan!AA57)/(Spielplan!AA32+Spielplan!Y57))),0,IF(((Spielplan!AA32+Spielplan!Y57)/(Spielplan!Y32+Spielplan!AA57))&gt;((Spielplan!Y32+Spielplan!AA57)/(Spielplan!AA32+Spielplan!Y57)),0.000001,0))+IF((Spielplan!AF32+Spielplan!AD57-Spielplan!AD32-Spielplan!AF57)&gt;(Spielplan!AD32+Spielplan!AF57-Spielplan!AF32-Spielplan!AD57),0.0000001,0),0)</f>
        <v>0</v>
      </c>
      <c r="AU20" s="247">
        <f>SUM(IF(V20&gt;V19,1,0)+IF(Y20&gt;Y19,0.1,0)+IF(AC20&gt;AC19,0.01,0)+IF(AD20&gt;AD19,0.001,0)+IF(AH20&gt;AH19,0.0001,0))</f>
        <v>0</v>
      </c>
      <c r="AV20" s="253">
        <f>IF(AM20=AM19,SUM(IF((Spielplan!AA8+Spielplan!Y37-Spielplan!Y8-Spielplan!AA37)&gt;(Spielplan!Y8+Spielplan!AA37-Spielplan!AA8-Spielplan!Y37),0.00001,0))+IF(ISERROR(((Spielplan!AA8+Spielplan!Y37)/(Spielplan!Y8+Spielplan!AA37))&gt;((Spielplan!Y8+Spielplan!AA37)/(Spielplan!AA8+Spielplan!Y37))),0,IF(((Spielplan!AA8+Spielplan!Y37)/(Spielplan!Y8+Spielplan!AA37))&gt;((Spielplan!Y8+Spielplan!AA37)/(Spielplan!AA8+Spielplan!Y37)),0.000001,0))+IF((Spielplan!AF8+Spielplan!AD37-Spielplan!AD8-Spielplan!AF37)&gt;(Spielplan!AD8+Spielplan!AF37-Spielplan!AF8-Spielplan!AD37),0.0000001,0),0)</f>
        <v>0</v>
      </c>
      <c r="AW20" s="311" t="s">
        <v>121</v>
      </c>
      <c r="AX20" s="312"/>
      <c r="AY20" s="245">
        <f>SUM(IF(V20&gt;V21,1,0)+IF(Y20&gt;Y21,0.1,0)+IF(AC20&gt;AC21,0.01,0)+IF(AD20&gt;AD21,0.001,0)+IF(AH20&gt;AH21,0.0001,0))</f>
        <v>0</v>
      </c>
      <c r="AZ20" s="253">
        <f>IF(AM20=AM21,SUM(IF((Spielplan!Y21+Spielplan!AA60-Spielplan!AA21-Spielplan!Y60)&gt;(Spielplan!AA21+Spielplan!Y60-Spielplan!Y21-Spielplan!AA60),0.00001,0))+IF(ISERROR(((Spielplan!Y21+Spielplan!AA60)/(Spielplan!AA21+Spielplan!Y60))&gt;((Spielplan!AA21+Spielplan!Y60)/(Spielplan!Y21+Spielplan!AA60))),0,IF(((Spielplan!Y21+Spielplan!AA60)/(Spielplan!AA21+Spielplan!Y60))&gt;((Spielplan!AA21+Spielplan!Y60)/(Spielplan!Y21+Spielplan!AA60)),0.000001,0))+IF((Spielplan!AD21+Spielplan!AF60-Spielplan!AF21-Spielplan!AD60)&gt;(Spielplan!AF21+Spielplan!AD60-Spielplan!AD21-Spielplan!AF60),0.0000001,0),0)</f>
        <v>0</v>
      </c>
      <c r="BA20" s="245">
        <f>SUM(IF(V20&gt;V22,1,0)+IF(Y20&gt;Y22,0.1,0)+IF(AC20&gt;AC22,0.01,0)+IF(AD20&gt;AD22,0.001,0)+IF(AH20&gt;AH22,0.0001,0))</f>
        <v>0</v>
      </c>
      <c r="BB20" s="253">
        <f>IF(AM20=AM22,SUM(IF((Spielplan!Y15+Spielplan!AA63-Spielplan!AA15-Spielplan!Y63)&gt;(Spielplan!AA15+Spielplan!Y63-Spielplan!Y15-Spielplan!AA63),0.00001,0))+IF(ISERROR(((Spielplan!Y15+Spielplan!AA63)/(Spielplan!AA15+Spielplan!Y63))&gt;((Spielplan!AA15+Spielplan!Y63)/(Spielplan!Y15+Spielplan!AA63))),0,IF(((Spielplan!Y15+Spielplan!AA63)/(Spielplan!AA15+Spielplan!Y63))&gt;((Spielplan!AA15+Spielplan!Y63)/(Spielplan!Y15+Spielplan!AA63)),0.000001,0))+IF((Spielplan!AD15+Spielplan!AF63-Spielplan!AF15-Spielplan!AD63)&gt;(Spielplan!AF15+Spielplan!AD63-Spielplan!AD15-Spielplan!AF63),0.0000001,0),0)</f>
        <v>0</v>
      </c>
      <c r="BC20" s="246"/>
      <c r="BD20" s="246">
        <f t="shared" si="2"/>
        <v>6.0000000000000008E-8</v>
      </c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6"/>
    </row>
    <row r="21" spans="1:79" s="24" customFormat="1" x14ac:dyDescent="0.2">
      <c r="A21" s="13" t="e">
        <f>VLOOKUP(6,Tabelle,1,0)</f>
        <v>#N/A</v>
      </c>
      <c r="B21" s="23" t="e">
        <f>VLOOKUP(6,Tabelle,2,0)</f>
        <v>#N/A</v>
      </c>
      <c r="C21" s="22" t="e">
        <f>VLOOKUP(6,Tabelle,3,0)</f>
        <v>#N/A</v>
      </c>
      <c r="D21" s="22" t="e">
        <f>VLOOKUP(6,Tabelle,4,0)</f>
        <v>#N/A</v>
      </c>
      <c r="E21" s="22" t="s">
        <v>0</v>
      </c>
      <c r="F21" s="22" t="e">
        <f>VLOOKUP(6,Tabelle,6,0)</f>
        <v>#N/A</v>
      </c>
      <c r="G21" s="10"/>
      <c r="H21" s="13" t="e">
        <f>VLOOKUP(6,Tabelle,8,0)</f>
        <v>#N/A</v>
      </c>
      <c r="I21" s="22" t="s">
        <v>0</v>
      </c>
      <c r="J21" s="13" t="e">
        <f>VLOOKUP(6,Tabelle,10,0)</f>
        <v>#N/A</v>
      </c>
      <c r="K21" s="122" t="e">
        <f>VLOOKUP(6,Tabelle,11,0)</f>
        <v>#N/A</v>
      </c>
      <c r="L21" s="22" t="e">
        <f>VLOOKUP(6,Tabelle,13,0)</f>
        <v>#N/A</v>
      </c>
      <c r="M21" s="22" t="s">
        <v>0</v>
      </c>
      <c r="N21" s="22" t="e">
        <f>VLOOKUP(6,Tabelle,15,0)</f>
        <v>#N/A</v>
      </c>
      <c r="O21" s="122" t="e">
        <f>VLOOKUP(6,S16:AI22,16,0)</f>
        <v>#N/A</v>
      </c>
      <c r="P21" s="20"/>
      <c r="R21" s="233">
        <v>1</v>
      </c>
      <c r="S21" s="199">
        <f t="shared" si="0"/>
        <v>7</v>
      </c>
      <c r="T21" s="119"/>
      <c r="U21" s="142">
        <f t="shared" si="3"/>
        <v>0</v>
      </c>
      <c r="V21" s="144">
        <f>Spielplan!W9+Spielplan!W13+Spielplan!W18+Spielplan!W21+Spielplan!U31+Spielplan!W33+Spielplan!U39+Spielplan!U44+Spielplan!W50+Spielplan!U54+Spielplan!U60+Spielplan!U64</f>
        <v>0</v>
      </c>
      <c r="W21" s="144" t="s">
        <v>0</v>
      </c>
      <c r="X21" s="144">
        <f>Spielplan!U9+Spielplan!U13+Spielplan!U18+Spielplan!U21+Spielplan!W31+Spielplan!U33+Spielplan!W39+Spielplan!W44+Spielplan!U50+Spielplan!W54+Spielplan!W60+Spielplan!W64</f>
        <v>0</v>
      </c>
      <c r="Y21" s="142">
        <f t="shared" si="4"/>
        <v>0</v>
      </c>
      <c r="Z21" s="144">
        <f>Spielplan!AA9+Spielplan!AA13+Spielplan!AA18+Spielplan!AA21+Spielplan!Y31+Spielplan!AA33+Spielplan!Y39+Spielplan!Y44+Spielplan!AA50+Spielplan!Y54+Spielplan!Y60+Spielplan!Y64</f>
        <v>0</v>
      </c>
      <c r="AA21" s="144" t="s">
        <v>0</v>
      </c>
      <c r="AB21" s="144">
        <f>Spielplan!Y9+Spielplan!Y13+Spielplan!Y18+Spielplan!Y21+Spielplan!AA31+Spielplan!Y33+Spielplan!AA39+Spielplan!AA44+Spielplan!Y50+Spielplan!AA54+Spielplan!AA60+Spielplan!AA64</f>
        <v>0</v>
      </c>
      <c r="AC21" s="143">
        <f t="shared" si="5"/>
        <v>0</v>
      </c>
      <c r="AD21" s="203">
        <f t="shared" si="6"/>
        <v>0</v>
      </c>
      <c r="AE21" s="144">
        <f>Spielplan!AF9+Spielplan!AF13+Spielplan!AF18+Spielplan!AF21+Spielplan!AD31+Spielplan!AF33+Spielplan!AD39+Spielplan!AD44+Spielplan!AF50+Spielplan!AD54+Spielplan!AD60+Spielplan!AD64</f>
        <v>0</v>
      </c>
      <c r="AF21" s="144" t="s">
        <v>0</v>
      </c>
      <c r="AG21" s="144">
        <f>Spielplan!AD9+Spielplan!AD13+Spielplan!AD18+Spielplan!AD21+Spielplan!AF31+Spielplan!AD33+Spielplan!AF39+Spielplan!AF44+Spielplan!AD50+Spielplan!AF54+Spielplan!AF60+Spielplan!AF64</f>
        <v>0</v>
      </c>
      <c r="AH21" s="143">
        <f t="shared" si="7"/>
        <v>0</v>
      </c>
      <c r="AI21" s="234">
        <f t="shared" si="8"/>
        <v>7</v>
      </c>
      <c r="AJ21" s="145"/>
      <c r="AK21" s="125">
        <f>7-SUM(IF(AL21&gt;AL16,1,0)+IF(AL21&gt;AL17,1,0)+IF(AL21&gt;AL18,1,0)+IF(AL21&gt;AL19,1,0)+IF(AL21&gt;AL20,1,0)+IF(AL21&gt;AL22,1,0))</f>
        <v>7</v>
      </c>
      <c r="AL21" s="244">
        <f t="shared" si="1"/>
        <v>6.0000000000000008E-8</v>
      </c>
      <c r="AM21" s="245">
        <f>AO21+AQ21+AS21+AU21+AW21+BA21</f>
        <v>0</v>
      </c>
      <c r="AN21" s="251">
        <f>AP21+AR21+AT21+AV21+AX21+BB21</f>
        <v>0</v>
      </c>
      <c r="AO21" s="245">
        <f>SUM(IF(V21&gt;V16,1,0)+IF(Y21&gt;Y16,0.1,0)+IF(AC21&gt;AC16,0.01,0)+IF(AD21&gt;AD16,0.001,0)+IF(AH21&gt;AH16,0.0001,0))</f>
        <v>0</v>
      </c>
      <c r="AP21" s="253">
        <f>IF(AM21=AM16,SUM(IF((Spielplan!AA18+Spielplan!Y44-Spielplan!Y18-Spielplan!AA44)&gt;(Spielplan!Y18+Spielplan!AA44-Spielplan!AA18-Spielplan!Y44),0.00001,0))+IF(ISERROR(((Spielplan!AA18+Spielplan!Y44)/(Spielplan!Y18+Spielplan!AA44))&gt;((Spielplan!Y18+Spielplan!AA44)/(Spielplan!AA18+Spielplan!Y44))),0,IF(((Spielplan!AA18+Spielplan!Y44)/(Spielplan!Y18+Spielplan!AA44))&gt;((Spielplan!Y18+Spielplan!AA44)/(Spielplan!AA18+Spielplan!Y44)),0.000001,0))+IF((Spielplan!AF18+Spielplan!AD44-Spielplan!AD18-Spielplan!AF44)&gt;(Spielplan!AD18+Spielplan!AF44-Spielplan!AF18-Spielplan!AD44),0.0000001,0),0)</f>
        <v>0</v>
      </c>
      <c r="AQ21" s="247">
        <f>SUM(IF(V21&gt;V17,1,0)+IF(Y21&gt;Y17,0.1,0)+IF(AC21&gt;AC17,0.01,0)+IF(AD21&gt;AD17,0.001,0)+IF(AH21&gt;AH17,0.0001,0))</f>
        <v>0</v>
      </c>
      <c r="AR21" s="253">
        <f>IF(AM21=AM17,SUM(IF((Spielplan!AA33+Spielplan!Y54-Spielplan!Y33-Spielplan!AA54)&gt;(Spielplan!Y33+Spielplan!AA54-Spielplan!AA33-Spielplan!Y54),0.00001,0))+IF(ISERROR(((Spielplan!AA33+Spielplan!Y54)/(Spielplan!Y33+Spielplan!AA54))&gt;((Spielplan!Y33+Spielplan!AA54)/(Spielplan!AA33+Spielplan!Y54))),0,IF(((Spielplan!AA33+Spielplan!Y54)/(Spielplan!Y33+Spielplan!AA54))&gt;((Spielplan!Y33+Spielplan!AA54)/(Spielplan!AA33+Spielplan!Y54)),0.000001,0))+IF((Spielplan!AF33+Spielplan!AD54-Spielplan!AD33-Spielplan!AF54)&gt;(Spielplan!AD33+Spielplan!AF54-Spielplan!AF33-Spielplan!AD54),0.0000001,0),0)</f>
        <v>0</v>
      </c>
      <c r="AS21" s="247">
        <f>SUM(IF(V21&gt;V18,1,0)+IF(Y21&gt;Y18,0.1,0)+IF(AC21&gt;AC18,0.01,0)+IF(AD21&gt;AD18,0.001,0)+IF(AH21&gt;AH18,0.0001,0))</f>
        <v>0</v>
      </c>
      <c r="AT21" s="253">
        <f>IF(AM21=AM18,SUM(IF((Spielplan!AA9+Spielplan!Y39-Spielplan!Y9-Spielplan!AA39)&gt;(Spielplan!Y9+Spielplan!AA39-Spielplan!AA9-Spielplan!Y39),0.00001,0))+IF(ISERROR(((Spielplan!AA9+Spielplan!Y39)/(Spielplan!Y9+Spielplan!AA39))&gt;((Spielplan!Y9+Spielplan!AA39)/(Spielplan!AA9+Spielplan!Y39))),0,IF(((Spielplan!AA9+Spielplan!Y39)/(Spielplan!Y9+Spielplan!AA39))&gt;((Spielplan!Y9+Spielplan!AA39)/(Spielplan!AA9+Spielplan!Y39)),0.000001,0))+IF((Spielplan!AF9+Spielplan!AD39-Spielplan!AD9-Spielplan!AF39)&gt;(Spielplan!AD9+Spielplan!AF39-Spielplan!AF9-Spielplan!AD39),0.0000001,0),0)</f>
        <v>0</v>
      </c>
      <c r="AU21" s="247">
        <f>SUM(IF(V21&gt;V19,1,0)+IF(Y21&gt;Y19,0.1,0)+IF(AC21&gt;AC19,0.01,0)+IF(AD21&gt;AD19,0.001,0)+IF(AH21&gt;AH19,0.0001,0))</f>
        <v>0</v>
      </c>
      <c r="AV21" s="253">
        <f>IF(AM21=AM19,SUM(IF((Spielplan!AA13+Spielplan!Y64-Spielplan!Y13-Spielplan!AA64)&gt;(Spielplan!Y13+Spielplan!AA64-Spielplan!AA13-Spielplan!Y64),0.00001,0))+IF(ISERROR(((Spielplan!AA13+Spielplan!Y64)/(Spielplan!Y13+Spielplan!AA64))&gt;((Spielplan!Y13+Spielplan!AA64)/(Spielplan!AA13+Spielplan!Y64))),0,IF(((Spielplan!AA13+Spielplan!Y64)/(Spielplan!Y13+Spielplan!AA64))&gt;((Spielplan!Y13+Spielplan!AA64)/(Spielplan!AA13+Spielplan!Y64)),0.000001,0))+IF((Spielplan!AF13+Spielplan!AD64-Spielplan!AD13-Spielplan!AF64)&gt;(Spielplan!AD13+Spielplan!AF64-Spielplan!AF13-Spielplan!AD64),0.0000001,0),0)</f>
        <v>0</v>
      </c>
      <c r="AW21" s="247">
        <f>SUM(IF(V21&gt;V20,1,0)+IF(Y21&gt;Y20,0.1,0)+IF(AC21&gt;AC20,0.01,0)+IF(AD21&gt;AD20,0.001,0)+IF(AH21&gt;AH20,0.0001,0))</f>
        <v>0</v>
      </c>
      <c r="AX21" s="253">
        <f>IF(AM21=AM20,SUM(IF((Spielplan!AA21+Spielplan!Y60-Spielplan!Y21-Spielplan!AA60)&gt;(Spielplan!Y21+Spielplan!AA60-Spielplan!AA21-Spielplan!Y60),0.00001,0))+IF(ISERROR(((Spielplan!AA21+Spielplan!Y60)/(Spielplan!Y21+Spielplan!AA60))&gt;((Spielplan!Y21+Spielplan!AA60)/(Spielplan!AA21+Spielplan!Y60))),0,IF(((Spielplan!AA21+Spielplan!Y60)/(Spielplan!Y21+Spielplan!AA60))&gt;((Spielplan!Y21+Spielplan!AA60)/(Spielplan!AA21+Spielplan!Y60)),0.000001,0))+IF((Spielplan!AF21+Spielplan!AD60-Spielplan!AD21-Spielplan!AF60)&gt;(Spielplan!AD21+Spielplan!AF60-Spielplan!AF21-Spielplan!AD60),0.0000001,0),0)</f>
        <v>0</v>
      </c>
      <c r="AY21" s="311" t="s">
        <v>121</v>
      </c>
      <c r="AZ21" s="312"/>
      <c r="BA21" s="245">
        <f>SUM(IF(V21&gt;V22,1,0)+IF(Y21&gt;Y22,0.1,0)+IF(AC21&gt;AC22,0.01,0)+IF(AD21&gt;AD22,0.001,0)+IF(AH21&gt;AH22,0.0001,0))</f>
        <v>0</v>
      </c>
      <c r="BB21" s="253">
        <f>IF(AM21=AM22,SUM(IF((Spielplan!Y31+Spielplan!AA50-Spielplan!AA31-Spielplan!Y50)&gt;(Spielplan!AA31+Spielplan!Y50-Spielplan!Y31-Spielplan!AA50),0.00001,0))+IF(ISERROR(((Spielplan!Y31+Spielplan!AA50)/(Spielplan!AA31+Spielplan!Y50))&gt;((Spielplan!AA31+Spielplan!Y50)/(Spielplan!Y31+Spielplan!AA50))),0,IF(((Spielplan!Y31+Spielplan!AA50)/(Spielplan!AA31+Spielplan!Y50))&gt;((Spielplan!AA31+Spielplan!Y50)/(Spielplan!Y31+Spielplan!AA50)),0.000001,0))+IF((Spielplan!AD31+Spielplan!AF50-Spielplan!AF31-Spielplan!AD50)&gt;(Spielplan!AF31+Spielplan!AD50-Spielplan!AD31-Spielplan!AF50),0.0000001,0),0)</f>
        <v>0</v>
      </c>
      <c r="BC21" s="246"/>
      <c r="BD21" s="246">
        <f t="shared" si="2"/>
        <v>6.0000000000000008E-8</v>
      </c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6"/>
    </row>
    <row r="22" spans="1:79" s="24" customFormat="1" x14ac:dyDescent="0.2">
      <c r="A22" s="13">
        <f>VLOOKUP(7,Tabelle,1,0)</f>
        <v>7</v>
      </c>
      <c r="B22" s="23" t="s">
        <v>186</v>
      </c>
      <c r="C22" s="22">
        <f>VLOOKUP(7,Tabelle,3,0)</f>
        <v>0</v>
      </c>
      <c r="D22" s="22">
        <f>VLOOKUP(7,Tabelle,4,0)</f>
        <v>0</v>
      </c>
      <c r="E22" s="22" t="s">
        <v>0</v>
      </c>
      <c r="F22" s="22">
        <f>VLOOKUP(7,Tabelle,6,0)</f>
        <v>0</v>
      </c>
      <c r="G22" s="10"/>
      <c r="H22" s="13">
        <f>VLOOKUP(7,Tabelle,8,0)</f>
        <v>0</v>
      </c>
      <c r="I22" s="22" t="s">
        <v>0</v>
      </c>
      <c r="J22" s="13">
        <f>VLOOKUP(7,Tabelle,10,0)</f>
        <v>0</v>
      </c>
      <c r="K22" s="122">
        <f>VLOOKUP(7,Tabelle,11,0)</f>
        <v>0</v>
      </c>
      <c r="L22" s="22">
        <f>VLOOKUP(7,Tabelle,13,0)</f>
        <v>0</v>
      </c>
      <c r="M22" s="22" t="s">
        <v>0</v>
      </c>
      <c r="N22" s="22">
        <f>VLOOKUP(7,Tabelle,15,0)</f>
        <v>0</v>
      </c>
      <c r="O22" s="122">
        <f>VLOOKUP(7,S16:AI22,16,0)</f>
        <v>0</v>
      </c>
      <c r="P22" s="20"/>
      <c r="R22" s="233">
        <v>1</v>
      </c>
      <c r="S22" s="199">
        <f t="shared" si="0"/>
        <v>7</v>
      </c>
      <c r="T22" s="119"/>
      <c r="U22" s="142">
        <f t="shared" si="3"/>
        <v>0</v>
      </c>
      <c r="V22" s="144">
        <f>Spielplan!W11+Spielplan!W15+Spielplan!W19+Spielplan!W23+Spielplan!W31+Spielplan!W34+Spielplan!U38+Spielplan!U43+Spielplan!U50+Spielplan!U55+Spielplan!U58+Spielplan!U63</f>
        <v>0</v>
      </c>
      <c r="W22" s="144" t="s">
        <v>0</v>
      </c>
      <c r="X22" s="144">
        <f>Spielplan!U11+Spielplan!U15+Spielplan!U19+Spielplan!U23+Spielplan!U31+Spielplan!U34+Spielplan!W38+Spielplan!W43+Spielplan!W50+Spielplan!W55+Spielplan!W58+Spielplan!W63</f>
        <v>0</v>
      </c>
      <c r="Y22" s="142">
        <f t="shared" si="4"/>
        <v>0</v>
      </c>
      <c r="Z22" s="144">
        <f>Spielplan!AA11+Spielplan!AA15+Spielplan!AA19+Spielplan!AA23+Spielplan!AA31+Spielplan!AA34+Spielplan!Y38+Spielplan!Y43+Spielplan!Y50+Spielplan!Y55+Spielplan!Y58+Spielplan!Y63</f>
        <v>0</v>
      </c>
      <c r="AA22" s="144" t="s">
        <v>0</v>
      </c>
      <c r="AB22" s="144">
        <f>Spielplan!Y11+Spielplan!Y15+Spielplan!Y19+Spielplan!Y23+Spielplan!Y31+Spielplan!Y34+Spielplan!AA38+Spielplan!AA43+Spielplan!AA50+Spielplan!AA55+Spielplan!AA58+Spielplan!AA63</f>
        <v>0</v>
      </c>
      <c r="AC22" s="143">
        <f t="shared" si="5"/>
        <v>0</v>
      </c>
      <c r="AD22" s="203">
        <f t="shared" si="6"/>
        <v>0</v>
      </c>
      <c r="AE22" s="144">
        <f>Spielplan!AF11+Spielplan!AF15+Spielplan!AF19+Spielplan!AF23+Spielplan!AF31+Spielplan!AF34+Spielplan!AD38+Spielplan!AD43+Spielplan!AD50+Spielplan!AD55+Spielplan!AD58+Spielplan!AD63</f>
        <v>0</v>
      </c>
      <c r="AF22" s="144" t="s">
        <v>0</v>
      </c>
      <c r="AG22" s="144">
        <f>Spielplan!AD11+Spielplan!AD15+Spielplan!AD19+Spielplan!AD23+Spielplan!AD31+Spielplan!AD34+Spielplan!AF38+Spielplan!AF43+Spielplan!AF50+Spielplan!AF55+Spielplan!AF58+Spielplan!AF63</f>
        <v>0</v>
      </c>
      <c r="AH22" s="143">
        <f t="shared" si="7"/>
        <v>0</v>
      </c>
      <c r="AI22" s="234">
        <f t="shared" si="8"/>
        <v>7</v>
      </c>
      <c r="AJ22" s="145"/>
      <c r="AK22" s="125">
        <f>7-SUM(IF(AL22&gt;AL16,1,0)+IF(AL22&gt;AL17,1,0)+IF(AL22&gt;AL18,1,0)+IF(AL22&gt;AL19,1,0)+IF(AL22&gt;AL20,1,0)+IF(AL22&gt;AL21,1,0))</f>
        <v>7</v>
      </c>
      <c r="AL22" s="244">
        <f t="shared" si="1"/>
        <v>6.0000000000000008E-8</v>
      </c>
      <c r="AM22" s="245">
        <f>AO22+AQ22+AS22+AU22+AW22+AY22</f>
        <v>0</v>
      </c>
      <c r="AN22" s="251">
        <f>AP22+AR22+AT22+AV22+AX22+AZ22</f>
        <v>0</v>
      </c>
      <c r="AO22" s="245">
        <f>SUM(IF(V22&gt;V16,1,0)+IF(Y22&gt;Y16,0.1,0)+IF(AC22&gt;AC16,0.01,0)+IF(AD22&gt;AD16,0.001,0)+IF(AH22&gt;AH16,0.0001,0))</f>
        <v>0</v>
      </c>
      <c r="AP22" s="253">
        <f>IF(AM22=AM16,SUM(IF((Spielplan!AA11+Spielplan!Y58-Spielplan!Y11-Spielplan!AA58)&gt;(Spielplan!Y11+Spielplan!AA58-Spielplan!AA11-Spielplan!Y58),0.00001,0))+IF(ISERROR(((Spielplan!AA11+Spielplan!Y58)/(Spielplan!Y11+Spielplan!AA58))&gt;((Spielplan!Y11+Spielplan!AA58)/(Spielplan!AA11+Spielplan!Y58))),0,IF(((Spielplan!AA11+Spielplan!Y58)/(Spielplan!Y11+Spielplan!AA58))&gt;((Spielplan!Y11+Spielplan!AA58)/(Spielplan!AA11+Spielplan!Y58)),0.000001,0))+IF((Spielplan!AF11+Spielplan!AD58-Spielplan!AD11-Spielplan!AF58)&gt;(Spielplan!AD11+Spielplan!AF58-Spielplan!AF11-Spielplan!AD58),0.0000001,0),0)</f>
        <v>0</v>
      </c>
      <c r="AQ22" s="247">
        <f>SUM(IF(V22&gt;V17,1,0)+IF(Y22&gt;Y17,0.1,0)+IF(AC22&gt;AC17,0.01,0)+IF(AD22&gt;AD17,0.001,0)+IF(AH22&gt;AH17,0.0001,0))</f>
        <v>0</v>
      </c>
      <c r="AR22" s="253">
        <f>IF(AM22=AM17,SUM(IF((Spielplan!AA19+Spielplan!Y38-Spielplan!Y19-Spielplan!AA38)&gt;(Spielplan!Y19+Spielplan!AA38-Spielplan!AA19-Spielplan!Y38),0.00001,0))+IF(ISERROR(((Spielplan!AA19+Spielplan!Y38)/(Spielplan!Y19+Spielplan!AA38))&gt;((Spielplan!Y19+Spielplan!AA38)/(Spielplan!AA19+Spielplan!Y38))),0,IF(((Spielplan!AA19+Spielplan!Y38)/(Spielplan!Y19+Spielplan!AA38))&gt;((Spielplan!Y19+Spielplan!AA38)/(Spielplan!AA19+Spielplan!Y38)),0.000001,0))+IF((Spielplan!AF19+Spielplan!AD38-Spielplan!AD19-Spielplan!AF38)&gt;(Spielplan!AD19+Spielplan!AF38-Spielplan!AF19-Spielplan!AD38),0.0000001,0),0)</f>
        <v>0</v>
      </c>
      <c r="AS22" s="247">
        <f>SUM(IF(V22&gt;V18,1,0)+IF(Y22&gt;Y18,0.1,0)+IF(AC22&gt;AC18,0.01,0)+IF(AD22&gt;AD18,0.001,0)+IF(AH22&gt;AH18,0.0001,0))</f>
        <v>0</v>
      </c>
      <c r="AT22" s="254">
        <f>IF(AM22=AM18,SUM(IF((Spielplan!AA23+Spielplan!Y43-Spielplan!Y23-Spielplan!AA43)&gt;(Spielplan!Y23+Spielplan!AA43-Spielplan!AA23-Spielplan!Y43),0.00001,0))+IF(ISERROR(((Spielplan!AA23+Spielplan!Y43)/(Spielplan!Y23+Spielplan!AA43))&gt;((Spielplan!Y23+Spielplan!AA43)/(Spielplan!AA23+Spielplan!Y43))),0,IF(((Spielplan!AA23+Spielplan!Y43)/(Spielplan!Y23+Spielplan!AA43))&gt;((Spielplan!Y23+Spielplan!AA43)/(Spielplan!AA23+Spielplan!Y43)),0.000001,0))+IF((Spielplan!AF23+Spielplan!AD43-Spielplan!AD23-Spielplan!AF43)&gt;(Spielplan!AD23+Spielplan!AF43-Spielplan!AF23-Spielplan!AD43),0.0000001,0),0)</f>
        <v>0</v>
      </c>
      <c r="AU22" s="247">
        <f>SUM(IF(V22&gt;V19,1,0)+IF(Y22&gt;Y19,0.1,0)+IF(AC22&gt;AC19,0.01,0)+IF(AD22&gt;AD19,0.001,0)+IF(AH22&gt;AH19,0.0001,0))</f>
        <v>0</v>
      </c>
      <c r="AV22" s="254">
        <f>IF(AM22=AM19,SUM(IF((Spielplan!AA34+Spielplan!Y55-Spielplan!Y34-Spielplan!AA55)&gt;(Spielplan!Y34+Spielplan!AA55-Spielplan!AA34-Spielplan!Y55),0.00001,0))+IF(ISERROR(((Spielplan!AA34+Spielplan!Y55)/(Spielplan!Y34+Spielplan!AA55))&gt;((Spielplan!Y34+Spielplan!AA55)/(Spielplan!AA34+Spielplan!Y55))),0,IF(((Spielplan!AA34+Spielplan!Y55)/(Spielplan!Y34+Spielplan!AA55))&gt;((Spielplan!Y34+Spielplan!AA55)/(Spielplan!AA34+Spielplan!Y55)),0.000001,0))+IF((Spielplan!AF34+Spielplan!AD55-Spielplan!AD34-Spielplan!AF55)&gt;(Spielplan!AD34+Spielplan!AF55-Spielplan!AF34-Spielplan!AD55),0.0000001,0),0)</f>
        <v>0</v>
      </c>
      <c r="AW22" s="247">
        <f>SUM(IF(V22&gt;V20,1,0)+IF(Y22&gt;Y20,0.1,0)+IF(AC22&gt;AC20,0.01,0)+IF(AD22&gt;AD20,0.001,0)+IF(AH22&gt;AH20,0.0001,0))</f>
        <v>0</v>
      </c>
      <c r="AX22" s="254">
        <f>IF(AM22=AM20,SUM(IF((Spielplan!AA15+Spielplan!Y63-Spielplan!Y15-Spielplan!AA63)&gt;(Spielplan!Y15+Spielplan!AA63-Spielplan!AA15-Spielplan!Y63),0.00001,0))+IF(ISERROR(((Spielplan!AA15+Spielplan!Y63)/(Spielplan!Y15+Spielplan!AA63))&gt;((Spielplan!Y15+Spielplan!AA63)/(Spielplan!AA15+Spielplan!Y63))),0,IF(((Spielplan!AA15+Spielplan!Y63)/(Spielplan!Y15+Spielplan!AA63))&gt;((Spielplan!Y15+Spielplan!AA63)/(Spielplan!AA15+Spielplan!Y63)),0.000001,0))+IF((Spielplan!AF15+Spielplan!AD63-Spielplan!AD15-Spielplan!AF63)&gt;(Spielplan!AD15+Spielplan!AF63-Spielplan!AF15-Spielplan!AD63),0.0000001,0),0)</f>
        <v>0</v>
      </c>
      <c r="AY22" s="247">
        <f>SUM(IF(V22&gt;V21,1,0)+IF(Y22&gt;Y21,0.1,0)+IF(AC22&gt;AC21,0.01,0)+IF(AD22&gt;AD21,0.001,0)+IF(AH22&gt;AH21,0.0001,0))</f>
        <v>0</v>
      </c>
      <c r="AZ22" s="253">
        <f>IF(AM22=AM21,SUM(IF((Spielplan!AA31+Spielplan!Y50-Spielplan!Y31-Spielplan!AA50)&gt;(Spielplan!Y31+Spielplan!AA50-Spielplan!AA31-Spielplan!Y50),0.00001,0))+IF(ISERROR(((Spielplan!AA31+Spielplan!Y50)/(Spielplan!Y31+Spielplan!AA50))&gt;((Spielplan!Y31+Spielplan!AA50)/(Spielplan!AA31+Spielplan!Y50))),0,IF(((Spielplan!AA31+Spielplan!Y50)/(Spielplan!Y31+Spielplan!AA50))&gt;((Spielplan!Y31+Spielplan!AA50)/(Spielplan!AA31+Spielplan!Y50)),0.000001,0))+IF((Spielplan!AF31+Spielplan!AD50-Spielplan!AD31-Spielplan!AF50)&gt;(Spielplan!AD31+Spielplan!AF50-Spielplan!AF31-Spielplan!AD50),0.0000001,0),0)</f>
        <v>0</v>
      </c>
      <c r="BA22" s="311" t="s">
        <v>121</v>
      </c>
      <c r="BB22" s="312"/>
      <c r="BC22" s="246"/>
      <c r="BD22" s="246">
        <f t="shared" si="2"/>
        <v>6.0000000000000008E-8</v>
      </c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6"/>
    </row>
    <row r="23" spans="1:79" x14ac:dyDescent="0.2">
      <c r="K23" s="121"/>
      <c r="O23" s="120"/>
      <c r="P23" s="20"/>
      <c r="Y23" s="1"/>
      <c r="Z23" s="1"/>
      <c r="AA23" s="1"/>
      <c r="AB23" s="1"/>
      <c r="AC23" s="1"/>
      <c r="AD23" s="1"/>
    </row>
    <row r="24" spans="1:79" x14ac:dyDescent="0.2">
      <c r="Y24" s="1"/>
      <c r="Z24" s="1"/>
      <c r="AA24" s="1"/>
      <c r="AB24" s="1"/>
      <c r="AC24" s="1"/>
      <c r="AD24" s="1"/>
    </row>
    <row r="25" spans="1:79" x14ac:dyDescent="0.2">
      <c r="A25" s="2" t="s">
        <v>178</v>
      </c>
    </row>
    <row r="26" spans="1:79" ht="18" x14ac:dyDescent="0.25">
      <c r="A26" s="2" t="s">
        <v>177</v>
      </c>
      <c r="S26" s="307" t="s">
        <v>19</v>
      </c>
      <c r="T26" s="308"/>
    </row>
    <row r="27" spans="1:79" ht="15.75" x14ac:dyDescent="0.25">
      <c r="R27" s="38"/>
      <c r="S27" s="38"/>
      <c r="T27" s="39" t="s">
        <v>21</v>
      </c>
      <c r="U27" s="309" t="s">
        <v>20</v>
      </c>
      <c r="V27" s="309"/>
      <c r="W27" s="38"/>
      <c r="X27" s="309" t="s">
        <v>22</v>
      </c>
      <c r="Y27" s="310"/>
    </row>
    <row r="28" spans="1:79" ht="15.75" x14ac:dyDescent="0.25">
      <c r="R28" s="38" t="s">
        <v>124</v>
      </c>
      <c r="S28" s="38"/>
      <c r="T28" s="119"/>
      <c r="U28" s="300"/>
      <c r="V28" s="298"/>
      <c r="W28" s="281"/>
      <c r="X28" s="301"/>
      <c r="Y28" s="301"/>
    </row>
    <row r="29" spans="1:79" ht="15.75" x14ac:dyDescent="0.25">
      <c r="R29" s="38"/>
      <c r="S29" s="38"/>
      <c r="T29" s="277"/>
      <c r="U29" s="285"/>
      <c r="V29" s="286"/>
      <c r="W29" s="282"/>
      <c r="X29" s="285"/>
      <c r="Y29" s="286"/>
    </row>
    <row r="30" spans="1:79" ht="15.75" x14ac:dyDescent="0.25">
      <c r="R30" s="38" t="s">
        <v>140</v>
      </c>
      <c r="S30" s="38"/>
      <c r="T30" s="119"/>
      <c r="U30" s="300"/>
      <c r="V30" s="298"/>
      <c r="W30" s="281"/>
      <c r="X30" s="301"/>
      <c r="Y30" s="301"/>
    </row>
    <row r="31" spans="1:79" ht="15.75" x14ac:dyDescent="0.25">
      <c r="R31" s="38"/>
      <c r="S31" s="38"/>
      <c r="T31" s="277"/>
      <c r="U31" s="285"/>
      <c r="V31" s="286"/>
      <c r="W31" s="282"/>
      <c r="X31" s="285"/>
      <c r="Y31" s="286"/>
    </row>
    <row r="32" spans="1:79" ht="15.75" x14ac:dyDescent="0.25">
      <c r="R32" s="38" t="s">
        <v>125</v>
      </c>
      <c r="S32" s="38"/>
      <c r="T32" s="119"/>
      <c r="U32" s="300"/>
      <c r="V32" s="298"/>
      <c r="W32" s="281"/>
      <c r="X32" s="301"/>
      <c r="Y32" s="301"/>
      <c r="CA32" s="125"/>
    </row>
    <row r="33" spans="18:79" ht="15.75" x14ac:dyDescent="0.25">
      <c r="R33" s="38"/>
      <c r="S33" s="38"/>
      <c r="T33" s="277"/>
      <c r="U33" s="285"/>
      <c r="V33" s="286"/>
      <c r="W33" s="282"/>
      <c r="X33" s="285"/>
      <c r="Y33" s="286"/>
      <c r="CA33" s="125"/>
    </row>
  </sheetData>
  <sheetProtection selectLockedCells="1"/>
  <mergeCells count="48">
    <mergeCell ref="BA14:BB14"/>
    <mergeCell ref="BA22:BB22"/>
    <mergeCell ref="AO16:AP16"/>
    <mergeCell ref="AQ17:AR17"/>
    <mergeCell ref="AS18:AT18"/>
    <mergeCell ref="AU19:AV19"/>
    <mergeCell ref="AW20:AX20"/>
    <mergeCell ref="AY21:AZ21"/>
    <mergeCell ref="R14:R15"/>
    <mergeCell ref="S26:T26"/>
    <mergeCell ref="X27:Y27"/>
    <mergeCell ref="U27:V27"/>
    <mergeCell ref="AS14:AT14"/>
    <mergeCell ref="AO14:AP14"/>
    <mergeCell ref="AQ14:AR14"/>
    <mergeCell ref="AW14:AX14"/>
    <mergeCell ref="AY14:AZ14"/>
    <mergeCell ref="AL14:AN14"/>
    <mergeCell ref="U3:Z3"/>
    <mergeCell ref="U28:V28"/>
    <mergeCell ref="AU14:AV14"/>
    <mergeCell ref="U6:Z6"/>
    <mergeCell ref="U5:Z5"/>
    <mergeCell ref="U4:Z4"/>
    <mergeCell ref="U8:Z8"/>
    <mergeCell ref="U32:V32"/>
    <mergeCell ref="X28:Y28"/>
    <mergeCell ref="X30:Y30"/>
    <mergeCell ref="X32:Y32"/>
    <mergeCell ref="U29:V29"/>
    <mergeCell ref="U31:V31"/>
    <mergeCell ref="U30:V30"/>
    <mergeCell ref="U33:V33"/>
    <mergeCell ref="X29:Y29"/>
    <mergeCell ref="X31:Y31"/>
    <mergeCell ref="X33:Y33"/>
    <mergeCell ref="A1:Q1"/>
    <mergeCell ref="L14:N14"/>
    <mergeCell ref="D14:F14"/>
    <mergeCell ref="A2:Q3"/>
    <mergeCell ref="A4:Q5"/>
    <mergeCell ref="H14:J14"/>
    <mergeCell ref="K9:P9"/>
    <mergeCell ref="S1:AJ1"/>
    <mergeCell ref="AI2:AJ2"/>
    <mergeCell ref="V14:X14"/>
    <mergeCell ref="AE14:AG14"/>
    <mergeCell ref="Z14:AB14"/>
  </mergeCells>
  <phoneticPr fontId="0" type="noConversion"/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AF68"/>
  <sheetViews>
    <sheetView topLeftCell="C1" zoomScale="75" zoomScaleNormal="60" zoomScaleSheetLayoutView="75" workbookViewId="0">
      <selection activeCell="F1" sqref="F1:V1"/>
    </sheetView>
  </sheetViews>
  <sheetFormatPr baseColWidth="10" defaultRowHeight="15" x14ac:dyDescent="0.2"/>
  <cols>
    <col min="1" max="1" width="11.5703125" style="4" hidden="1" customWidth="1"/>
    <col min="2" max="2" width="11.5703125" style="255" hidden="1" customWidth="1"/>
    <col min="3" max="3" width="9.28515625" style="5" customWidth="1"/>
    <col min="4" max="4" width="9.140625" style="6" bestFit="1" customWidth="1"/>
    <col min="5" max="5" width="6" style="6" bestFit="1" customWidth="1"/>
    <col min="6" max="6" width="7.7109375" style="6" bestFit="1" customWidth="1"/>
    <col min="7" max="7" width="21.42578125" style="9" bestFit="1" customWidth="1"/>
    <col min="8" max="8" width="3.28515625" style="9" bestFit="1" customWidth="1"/>
    <col min="9" max="10" width="21.42578125" style="9" bestFit="1" customWidth="1"/>
    <col min="11" max="11" width="4.7109375" style="5" customWidth="1"/>
    <col min="12" max="12" width="1.140625" style="5" customWidth="1"/>
    <col min="13" max="14" width="4.7109375" style="5" customWidth="1"/>
    <col min="15" max="15" width="1.140625" style="5" customWidth="1"/>
    <col min="16" max="17" width="4.7109375" style="5" customWidth="1"/>
    <col min="18" max="18" width="1.140625" style="5" customWidth="1"/>
    <col min="19" max="19" width="4.7109375" style="5" customWidth="1"/>
    <col min="20" max="20" width="1.28515625" style="4" customWidth="1"/>
    <col min="21" max="21" width="4.7109375" style="5" customWidth="1"/>
    <col min="22" max="22" width="1.140625" style="5" customWidth="1"/>
    <col min="23" max="23" width="4.7109375" style="5" customWidth="1"/>
    <col min="24" max="24" width="0.7109375" style="42" customWidth="1"/>
    <col min="25" max="25" width="4.7109375" style="42" customWidth="1"/>
    <col min="26" max="26" width="1.140625" style="42" customWidth="1"/>
    <col min="27" max="27" width="4.7109375" style="42" customWidth="1"/>
    <col min="28" max="28" width="1.28515625" style="42" customWidth="1"/>
    <col min="29" max="29" width="1.5703125" style="42" customWidth="1"/>
    <col min="30" max="30" width="5.5703125" style="42" customWidth="1"/>
    <col min="31" max="31" width="1.140625" style="42" customWidth="1"/>
    <col min="32" max="32" width="5.5703125" style="42" customWidth="1"/>
    <col min="33" max="33" width="19.42578125" style="4" bestFit="1" customWidth="1"/>
    <col min="34" max="34" width="10.5703125" style="4" bestFit="1" customWidth="1"/>
    <col min="35" max="35" width="3.140625" style="4" customWidth="1"/>
    <col min="36" max="36" width="11.140625" style="4" bestFit="1" customWidth="1"/>
    <col min="37" max="37" width="7.7109375" style="4" bestFit="1" customWidth="1"/>
    <col min="38" max="38" width="5.140625" style="4" customWidth="1"/>
    <col min="39" max="16384" width="11.42578125" style="4"/>
  </cols>
  <sheetData>
    <row r="1" spans="1:32" ht="39" customHeight="1" x14ac:dyDescent="0.35">
      <c r="F1" s="313">
        <f>Platzierung!U4</f>
        <v>0</v>
      </c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</row>
    <row r="2" spans="1:32" ht="27" customHeight="1" x14ac:dyDescent="0.35">
      <c r="F2" s="313">
        <f>Platzierung!U6</f>
        <v>0</v>
      </c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</row>
    <row r="3" spans="1:32" ht="25.9" customHeight="1" x14ac:dyDescent="0.35">
      <c r="F3" s="317" t="s">
        <v>131</v>
      </c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42"/>
      <c r="AC3" s="129"/>
      <c r="AD3" s="129"/>
      <c r="AE3" s="129"/>
    </row>
    <row r="4" spans="1:32" s="19" customFormat="1" ht="23.25" x14ac:dyDescent="0.35">
      <c r="B4" s="256"/>
      <c r="C4" s="15"/>
      <c r="D4" s="16"/>
      <c r="E4" s="16"/>
      <c r="F4" s="280" t="s">
        <v>175</v>
      </c>
      <c r="H4" s="17"/>
      <c r="I4" s="18">
        <f>Platzierung!U28</f>
        <v>0</v>
      </c>
      <c r="J4" s="17">
        <f>Platzierung!T28</f>
        <v>0</v>
      </c>
      <c r="K4" s="15"/>
      <c r="L4" s="15"/>
      <c r="M4" s="15"/>
      <c r="N4" s="15"/>
      <c r="O4" s="15"/>
      <c r="P4" s="15"/>
      <c r="Q4" s="278">
        <f>Platzierung!T29</f>
        <v>0</v>
      </c>
      <c r="R4" s="15"/>
      <c r="S4" s="15"/>
      <c r="T4" s="43"/>
      <c r="U4" s="43"/>
      <c r="V4" s="43"/>
      <c r="W4" s="43"/>
      <c r="X4" s="43"/>
      <c r="Y4" s="43"/>
      <c r="Z4" s="43"/>
      <c r="AA4" s="43"/>
      <c r="AB4" s="43"/>
      <c r="AC4" s="130"/>
      <c r="AD4" s="43"/>
      <c r="AE4" s="43"/>
      <c r="AF4" s="43"/>
    </row>
    <row r="5" spans="1:32" s="19" customFormat="1" ht="20.25" x14ac:dyDescent="0.3">
      <c r="B5" s="256"/>
      <c r="C5" s="15"/>
      <c r="D5" s="16"/>
      <c r="E5" s="16"/>
      <c r="F5" s="17"/>
      <c r="H5" s="17"/>
      <c r="I5" s="18"/>
      <c r="J5" s="279">
        <f>Platzierung!U29</f>
        <v>0</v>
      </c>
      <c r="K5" s="15"/>
      <c r="L5" s="15"/>
      <c r="M5" s="15"/>
      <c r="N5" s="15"/>
      <c r="O5" s="15"/>
      <c r="P5" s="15"/>
      <c r="Q5" s="279">
        <f>Platzierung!X29</f>
        <v>0</v>
      </c>
      <c r="R5" s="15"/>
      <c r="S5" s="15"/>
      <c r="T5" s="43"/>
      <c r="U5" s="43"/>
      <c r="V5" s="43"/>
      <c r="W5" s="43"/>
      <c r="X5" s="43"/>
      <c r="Y5" s="43"/>
      <c r="Z5" s="43"/>
      <c r="AA5" s="43"/>
      <c r="AB5" s="43"/>
      <c r="AC5" s="130"/>
      <c r="AD5" s="43"/>
      <c r="AE5" s="43"/>
      <c r="AF5" s="43"/>
    </row>
    <row r="6" spans="1:32" s="36" customFormat="1" ht="15.75" x14ac:dyDescent="0.25">
      <c r="A6" s="32" t="s">
        <v>14</v>
      </c>
      <c r="B6" s="257" t="s">
        <v>20</v>
      </c>
      <c r="C6" s="31" t="s">
        <v>9</v>
      </c>
      <c r="D6" s="269" t="s">
        <v>5</v>
      </c>
      <c r="E6" s="32" t="s">
        <v>4</v>
      </c>
      <c r="F6" s="32" t="s">
        <v>14</v>
      </c>
      <c r="G6" s="33" t="s">
        <v>8</v>
      </c>
      <c r="H6" s="34"/>
      <c r="I6" s="33" t="s">
        <v>7</v>
      </c>
      <c r="J6" s="35" t="s">
        <v>6</v>
      </c>
      <c r="K6" s="315" t="s">
        <v>80</v>
      </c>
      <c r="L6" s="315"/>
      <c r="M6" s="315"/>
      <c r="N6" s="315" t="s">
        <v>81</v>
      </c>
      <c r="O6" s="315"/>
      <c r="P6" s="315"/>
      <c r="Q6" s="315" t="s">
        <v>82</v>
      </c>
      <c r="R6" s="315"/>
      <c r="S6" s="315"/>
      <c r="T6" s="44"/>
      <c r="U6" s="316" t="s">
        <v>2</v>
      </c>
      <c r="V6" s="316"/>
      <c r="W6" s="316"/>
      <c r="X6" s="44"/>
      <c r="Y6" s="316" t="s">
        <v>83</v>
      </c>
      <c r="Z6" s="316"/>
      <c r="AA6" s="316"/>
      <c r="AB6" s="44"/>
      <c r="AC6" s="131"/>
      <c r="AD6" s="316" t="s">
        <v>1</v>
      </c>
      <c r="AE6" s="316"/>
      <c r="AF6" s="316"/>
    </row>
    <row r="7" spans="1:32" ht="15.75" x14ac:dyDescent="0.25">
      <c r="A7" s="7">
        <v>1</v>
      </c>
      <c r="B7" s="258">
        <f>I4</f>
        <v>0</v>
      </c>
      <c r="C7" s="266">
        <f>Platzierung!X28</f>
        <v>0</v>
      </c>
      <c r="D7" s="62">
        <v>1</v>
      </c>
      <c r="E7" s="268">
        <v>1</v>
      </c>
      <c r="F7" s="7">
        <v>1</v>
      </c>
      <c r="G7" s="25">
        <f>Platzierung!T16</f>
        <v>0</v>
      </c>
      <c r="H7" s="26" t="s">
        <v>17</v>
      </c>
      <c r="I7" s="25">
        <f>Platzierung!T17</f>
        <v>0</v>
      </c>
      <c r="J7" s="25">
        <f>Platzierung!T18</f>
        <v>0</v>
      </c>
      <c r="K7" s="27"/>
      <c r="L7" s="28" t="s">
        <v>0</v>
      </c>
      <c r="M7" s="27"/>
      <c r="N7" s="27"/>
      <c r="O7" s="28" t="s">
        <v>0</v>
      </c>
      <c r="P7" s="27"/>
      <c r="Q7" s="27"/>
      <c r="R7" s="28" t="s">
        <v>0</v>
      </c>
      <c r="S7" s="27"/>
      <c r="T7" s="45"/>
      <c r="U7" s="45">
        <f t="shared" ref="U7:U17" si="0">IF(Y7&gt;0,IF(Y7&gt;AA7,"2",IF(Y7&lt;AA7,"0",1)),0)</f>
        <v>0</v>
      </c>
      <c r="V7" s="28" t="s">
        <v>0</v>
      </c>
      <c r="W7" s="45">
        <f t="shared" ref="W7:W17" si="1">IF(AA7&gt;0,IF(AA7&gt;Y7,"2",IF(AA7&lt;Y7,"0",1)),0)</f>
        <v>0</v>
      </c>
      <c r="X7" s="45"/>
      <c r="Y7" s="45">
        <f t="shared" ref="Y7:Y17" si="2">IF(K7&gt;M7,1,0)+IF(N7&gt;P7,1,0)+IF(Q7&gt;S7,1,0)</f>
        <v>0</v>
      </c>
      <c r="Z7" s="28" t="s">
        <v>0</v>
      </c>
      <c r="AA7" s="45">
        <f t="shared" ref="AA7:AA17" si="3">IF(K7&lt;M7,1,0)+IF(N7&lt;P7,1,0)+IF(Q7&lt;S7,1,0)</f>
        <v>0</v>
      </c>
      <c r="AB7" s="45"/>
      <c r="AC7" s="132"/>
      <c r="AD7" s="45">
        <f t="shared" ref="AD7:AD17" si="4">K7+N7+Q7</f>
        <v>0</v>
      </c>
      <c r="AE7" s="28" t="s">
        <v>0</v>
      </c>
      <c r="AF7" s="45">
        <f t="shared" ref="AF7:AF17" si="5">M7+P7+S7</f>
        <v>0</v>
      </c>
    </row>
    <row r="8" spans="1:32" ht="15.75" x14ac:dyDescent="0.25">
      <c r="A8" s="7">
        <v>2</v>
      </c>
      <c r="B8" s="258">
        <f>I4</f>
        <v>0</v>
      </c>
      <c r="C8" s="267">
        <f>C7</f>
        <v>0</v>
      </c>
      <c r="D8" s="264">
        <v>1</v>
      </c>
      <c r="E8" s="268">
        <v>2</v>
      </c>
      <c r="F8" s="7">
        <v>2</v>
      </c>
      <c r="G8" s="25">
        <f>Platzierung!T19</f>
        <v>0</v>
      </c>
      <c r="H8" s="26" t="s">
        <v>17</v>
      </c>
      <c r="I8" s="25">
        <f>Platzierung!T20</f>
        <v>0</v>
      </c>
      <c r="J8" s="25">
        <f>Platzierung!T21</f>
        <v>0</v>
      </c>
      <c r="K8" s="27"/>
      <c r="L8" s="28" t="s">
        <v>0</v>
      </c>
      <c r="M8" s="27"/>
      <c r="N8" s="27"/>
      <c r="O8" s="28" t="s">
        <v>0</v>
      </c>
      <c r="P8" s="27"/>
      <c r="Q8" s="27"/>
      <c r="R8" s="28" t="s">
        <v>0</v>
      </c>
      <c r="S8" s="27"/>
      <c r="T8" s="45"/>
      <c r="U8" s="45">
        <f t="shared" si="0"/>
        <v>0</v>
      </c>
      <c r="V8" s="28" t="s">
        <v>0</v>
      </c>
      <c r="W8" s="45">
        <f t="shared" si="1"/>
        <v>0</v>
      </c>
      <c r="X8" s="45"/>
      <c r="Y8" s="45">
        <f t="shared" si="2"/>
        <v>0</v>
      </c>
      <c r="Z8" s="28" t="s">
        <v>0</v>
      </c>
      <c r="AA8" s="45">
        <f t="shared" si="3"/>
        <v>0</v>
      </c>
      <c r="AB8" s="45"/>
      <c r="AC8" s="132"/>
      <c r="AD8" s="45">
        <f t="shared" si="4"/>
        <v>0</v>
      </c>
      <c r="AE8" s="28" t="s">
        <v>0</v>
      </c>
      <c r="AF8" s="45">
        <f t="shared" si="5"/>
        <v>0</v>
      </c>
    </row>
    <row r="9" spans="1:32" ht="15.75" x14ac:dyDescent="0.25">
      <c r="A9" s="3">
        <v>3</v>
      </c>
      <c r="B9" s="259">
        <f>I4</f>
        <v>0</v>
      </c>
      <c r="C9" s="65">
        <f>SUM(C7+Platzierung!U11)</f>
        <v>2.4305555555555552E-2</v>
      </c>
      <c r="D9" s="270">
        <v>2</v>
      </c>
      <c r="E9" s="3">
        <v>1</v>
      </c>
      <c r="F9" s="3">
        <v>3</v>
      </c>
      <c r="G9" s="8">
        <f>Platzierung!T18</f>
        <v>0</v>
      </c>
      <c r="H9" s="35" t="s">
        <v>17</v>
      </c>
      <c r="I9" s="8">
        <f>Platzierung!T21</f>
        <v>0</v>
      </c>
      <c r="J9" s="8">
        <f>Platzierung!T22</f>
        <v>0</v>
      </c>
      <c r="K9" s="63"/>
      <c r="L9" s="64" t="s">
        <v>0</v>
      </c>
      <c r="M9" s="63"/>
      <c r="N9" s="63"/>
      <c r="O9" s="64" t="s">
        <v>0</v>
      </c>
      <c r="P9" s="63"/>
      <c r="Q9" s="63"/>
      <c r="R9" s="64" t="s">
        <v>0</v>
      </c>
      <c r="S9" s="63"/>
      <c r="T9" s="46"/>
      <c r="U9" s="46">
        <f t="shared" si="0"/>
        <v>0</v>
      </c>
      <c r="V9" s="64" t="s">
        <v>0</v>
      </c>
      <c r="W9" s="46">
        <f t="shared" si="1"/>
        <v>0</v>
      </c>
      <c r="X9" s="46"/>
      <c r="Y9" s="46">
        <f t="shared" si="2"/>
        <v>0</v>
      </c>
      <c r="Z9" s="64" t="s">
        <v>0</v>
      </c>
      <c r="AA9" s="46">
        <f t="shared" si="3"/>
        <v>0</v>
      </c>
      <c r="AB9" s="46"/>
      <c r="AC9" s="133"/>
      <c r="AD9" s="46">
        <f t="shared" si="4"/>
        <v>0</v>
      </c>
      <c r="AE9" s="64" t="s">
        <v>0</v>
      </c>
      <c r="AF9" s="46">
        <f t="shared" si="5"/>
        <v>0</v>
      </c>
    </row>
    <row r="10" spans="1:32" x14ac:dyDescent="0.2">
      <c r="A10" s="3"/>
      <c r="B10" s="259">
        <f>I4</f>
        <v>0</v>
      </c>
      <c r="C10" s="322">
        <f>C9</f>
        <v>2.4305555555555552E-2</v>
      </c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1"/>
    </row>
    <row r="11" spans="1:32" ht="15.75" x14ac:dyDescent="0.25">
      <c r="A11" s="7">
        <v>4</v>
      </c>
      <c r="B11" s="258">
        <f>I4</f>
        <v>0</v>
      </c>
      <c r="C11" s="61">
        <f>SUM(C9+Platzierung!U11)</f>
        <v>4.8611111111111105E-2</v>
      </c>
      <c r="D11" s="62">
        <v>3</v>
      </c>
      <c r="E11" s="7">
        <v>1</v>
      </c>
      <c r="F11" s="7">
        <v>4</v>
      </c>
      <c r="G11" s="25">
        <f>Platzierung!T16</f>
        <v>0</v>
      </c>
      <c r="H11" s="26" t="s">
        <v>17</v>
      </c>
      <c r="I11" s="25">
        <f>Platzierung!T22</f>
        <v>0</v>
      </c>
      <c r="J11" s="25">
        <f>Platzierung!T19</f>
        <v>0</v>
      </c>
      <c r="K11" s="27"/>
      <c r="L11" s="28" t="s">
        <v>0</v>
      </c>
      <c r="M11" s="27"/>
      <c r="N11" s="27"/>
      <c r="O11" s="28" t="s">
        <v>0</v>
      </c>
      <c r="P11" s="27"/>
      <c r="Q11" s="27"/>
      <c r="R11" s="28" t="s">
        <v>0</v>
      </c>
      <c r="S11" s="27"/>
      <c r="T11" s="45"/>
      <c r="U11" s="45">
        <f t="shared" si="0"/>
        <v>0</v>
      </c>
      <c r="V11" s="28" t="s">
        <v>0</v>
      </c>
      <c r="W11" s="45">
        <f t="shared" si="1"/>
        <v>0</v>
      </c>
      <c r="X11" s="45"/>
      <c r="Y11" s="45">
        <f t="shared" si="2"/>
        <v>0</v>
      </c>
      <c r="Z11" s="28" t="s">
        <v>0</v>
      </c>
      <c r="AA11" s="45">
        <f t="shared" si="3"/>
        <v>0</v>
      </c>
      <c r="AB11" s="45"/>
      <c r="AC11" s="132"/>
      <c r="AD11" s="45">
        <f t="shared" si="4"/>
        <v>0</v>
      </c>
      <c r="AE11" s="28" t="s">
        <v>0</v>
      </c>
      <c r="AF11" s="45">
        <f t="shared" si="5"/>
        <v>0</v>
      </c>
    </row>
    <row r="12" spans="1:32" ht="15.75" x14ac:dyDescent="0.25">
      <c r="A12" s="7">
        <v>5</v>
      </c>
      <c r="B12" s="258">
        <f>I4</f>
        <v>0</v>
      </c>
      <c r="C12" s="263">
        <f>C11</f>
        <v>4.8611111111111105E-2</v>
      </c>
      <c r="D12" s="264">
        <v>3</v>
      </c>
      <c r="E12" s="7">
        <v>2</v>
      </c>
      <c r="F12" s="7">
        <v>5</v>
      </c>
      <c r="G12" s="25">
        <f>Platzierung!T17</f>
        <v>0</v>
      </c>
      <c r="H12" s="26" t="s">
        <v>17</v>
      </c>
      <c r="I12" s="25">
        <f>Platzierung!T20</f>
        <v>0</v>
      </c>
      <c r="J12" s="25">
        <f>Platzierung!T21</f>
        <v>0</v>
      </c>
      <c r="K12" s="27"/>
      <c r="L12" s="28" t="s">
        <v>0</v>
      </c>
      <c r="M12" s="27"/>
      <c r="N12" s="27"/>
      <c r="O12" s="28" t="s">
        <v>0</v>
      </c>
      <c r="P12" s="27"/>
      <c r="Q12" s="27"/>
      <c r="R12" s="28" t="s">
        <v>0</v>
      </c>
      <c r="S12" s="27"/>
      <c r="T12" s="45"/>
      <c r="U12" s="45">
        <f t="shared" si="0"/>
        <v>0</v>
      </c>
      <c r="V12" s="28" t="s">
        <v>0</v>
      </c>
      <c r="W12" s="45">
        <f t="shared" si="1"/>
        <v>0</v>
      </c>
      <c r="X12" s="45"/>
      <c r="Y12" s="45">
        <f t="shared" si="2"/>
        <v>0</v>
      </c>
      <c r="Z12" s="28" t="s">
        <v>0</v>
      </c>
      <c r="AA12" s="45">
        <f t="shared" si="3"/>
        <v>0</v>
      </c>
      <c r="AB12" s="45"/>
      <c r="AC12" s="132"/>
      <c r="AD12" s="45">
        <f t="shared" si="4"/>
        <v>0</v>
      </c>
      <c r="AE12" s="28" t="s">
        <v>0</v>
      </c>
      <c r="AF12" s="45">
        <f t="shared" si="5"/>
        <v>0</v>
      </c>
    </row>
    <row r="13" spans="1:32" ht="15.75" x14ac:dyDescent="0.25">
      <c r="A13" s="3">
        <v>6</v>
      </c>
      <c r="B13" s="259">
        <f>I4</f>
        <v>0</v>
      </c>
      <c r="C13" s="65">
        <f>SUM(C11+Platzierung!U11)</f>
        <v>7.2916666666666657E-2</v>
      </c>
      <c r="D13" s="66">
        <v>4</v>
      </c>
      <c r="E13" s="3">
        <v>1</v>
      </c>
      <c r="F13" s="3">
        <v>6</v>
      </c>
      <c r="G13" s="8">
        <f>Platzierung!T19</f>
        <v>0</v>
      </c>
      <c r="H13" s="35" t="s">
        <v>17</v>
      </c>
      <c r="I13" s="8">
        <f>Platzierung!T21</f>
        <v>0</v>
      </c>
      <c r="J13" s="8">
        <f>Platzierung!T16</f>
        <v>0</v>
      </c>
      <c r="K13" s="63"/>
      <c r="L13" s="64" t="s">
        <v>0</v>
      </c>
      <c r="M13" s="63"/>
      <c r="N13" s="63"/>
      <c r="O13" s="64" t="s">
        <v>0</v>
      </c>
      <c r="P13" s="63"/>
      <c r="Q13" s="63"/>
      <c r="R13" s="64" t="s">
        <v>0</v>
      </c>
      <c r="S13" s="63"/>
      <c r="T13" s="46"/>
      <c r="U13" s="46">
        <f t="shared" si="0"/>
        <v>0</v>
      </c>
      <c r="V13" s="64" t="s">
        <v>0</v>
      </c>
      <c r="W13" s="46">
        <f t="shared" si="1"/>
        <v>0</v>
      </c>
      <c r="X13" s="46"/>
      <c r="Y13" s="46">
        <f t="shared" si="2"/>
        <v>0</v>
      </c>
      <c r="Z13" s="64" t="s">
        <v>0</v>
      </c>
      <c r="AA13" s="46">
        <f t="shared" si="3"/>
        <v>0</v>
      </c>
      <c r="AB13" s="46"/>
      <c r="AC13" s="133"/>
      <c r="AD13" s="46">
        <f t="shared" si="4"/>
        <v>0</v>
      </c>
      <c r="AE13" s="64" t="s">
        <v>0</v>
      </c>
      <c r="AF13" s="46">
        <f t="shared" si="5"/>
        <v>0</v>
      </c>
    </row>
    <row r="14" spans="1:32" ht="15.75" x14ac:dyDescent="0.25">
      <c r="A14" s="3">
        <v>7</v>
      </c>
      <c r="B14" s="259">
        <f>I4</f>
        <v>0</v>
      </c>
      <c r="C14" s="262">
        <f>C13</f>
        <v>7.2916666666666657E-2</v>
      </c>
      <c r="D14" s="265">
        <v>4</v>
      </c>
      <c r="E14" s="3">
        <v>2</v>
      </c>
      <c r="F14" s="3">
        <v>7</v>
      </c>
      <c r="G14" s="8">
        <f>Platzierung!T17</f>
        <v>0</v>
      </c>
      <c r="H14" s="35" t="s">
        <v>17</v>
      </c>
      <c r="I14" s="8">
        <f>Platzierung!T18</f>
        <v>0</v>
      </c>
      <c r="J14" s="8">
        <f>Platzierung!T20</f>
        <v>0</v>
      </c>
      <c r="K14" s="63"/>
      <c r="L14" s="64" t="s">
        <v>0</v>
      </c>
      <c r="M14" s="63"/>
      <c r="N14" s="63"/>
      <c r="O14" s="64" t="s">
        <v>0</v>
      </c>
      <c r="P14" s="63"/>
      <c r="Q14" s="63"/>
      <c r="R14" s="64" t="s">
        <v>0</v>
      </c>
      <c r="S14" s="63"/>
      <c r="T14" s="46"/>
      <c r="U14" s="46">
        <f t="shared" si="0"/>
        <v>0</v>
      </c>
      <c r="V14" s="64" t="s">
        <v>0</v>
      </c>
      <c r="W14" s="46">
        <f t="shared" si="1"/>
        <v>0</v>
      </c>
      <c r="X14" s="46"/>
      <c r="Y14" s="46">
        <f t="shared" si="2"/>
        <v>0</v>
      </c>
      <c r="Z14" s="64" t="s">
        <v>0</v>
      </c>
      <c r="AA14" s="46">
        <f t="shared" si="3"/>
        <v>0</v>
      </c>
      <c r="AB14" s="46"/>
      <c r="AC14" s="133"/>
      <c r="AD14" s="46">
        <f t="shared" si="4"/>
        <v>0</v>
      </c>
      <c r="AE14" s="64" t="s">
        <v>0</v>
      </c>
      <c r="AF14" s="46">
        <f t="shared" si="5"/>
        <v>0</v>
      </c>
    </row>
    <row r="15" spans="1:32" ht="15.75" x14ac:dyDescent="0.25">
      <c r="A15" s="7">
        <v>8</v>
      </c>
      <c r="B15" s="258">
        <f>I4</f>
        <v>0</v>
      </c>
      <c r="C15" s="61">
        <f>SUM(C13+Platzierung!U11)</f>
        <v>9.722222222222221E-2</v>
      </c>
      <c r="D15" s="62">
        <v>5</v>
      </c>
      <c r="E15" s="7">
        <v>1</v>
      </c>
      <c r="F15" s="7">
        <v>8</v>
      </c>
      <c r="G15" s="25">
        <f>Platzierung!T20</f>
        <v>0</v>
      </c>
      <c r="H15" s="26" t="s">
        <v>17</v>
      </c>
      <c r="I15" s="25">
        <f>Platzierung!T22</f>
        <v>0</v>
      </c>
      <c r="J15" s="25">
        <f>Platzierung!T19</f>
        <v>0</v>
      </c>
      <c r="K15" s="27"/>
      <c r="L15" s="28" t="s">
        <v>0</v>
      </c>
      <c r="M15" s="27"/>
      <c r="N15" s="27"/>
      <c r="O15" s="28" t="s">
        <v>0</v>
      </c>
      <c r="P15" s="27"/>
      <c r="Q15" s="27"/>
      <c r="R15" s="28" t="s">
        <v>0</v>
      </c>
      <c r="S15" s="27"/>
      <c r="T15" s="45"/>
      <c r="U15" s="45">
        <f t="shared" si="0"/>
        <v>0</v>
      </c>
      <c r="V15" s="28" t="s">
        <v>0</v>
      </c>
      <c r="W15" s="45">
        <f t="shared" si="1"/>
        <v>0</v>
      </c>
      <c r="X15" s="45"/>
      <c r="Y15" s="45">
        <f t="shared" si="2"/>
        <v>0</v>
      </c>
      <c r="Z15" s="28" t="s">
        <v>0</v>
      </c>
      <c r="AA15" s="45">
        <f t="shared" si="3"/>
        <v>0</v>
      </c>
      <c r="AB15" s="45"/>
      <c r="AC15" s="132"/>
      <c r="AD15" s="45">
        <f t="shared" si="4"/>
        <v>0</v>
      </c>
      <c r="AE15" s="28" t="s">
        <v>0</v>
      </c>
      <c r="AF15" s="45">
        <f t="shared" si="5"/>
        <v>0</v>
      </c>
    </row>
    <row r="16" spans="1:32" x14ac:dyDescent="0.2">
      <c r="A16" s="7"/>
      <c r="B16" s="258">
        <f>I4</f>
        <v>0</v>
      </c>
      <c r="C16" s="319">
        <f>C15</f>
        <v>9.722222222222221E-2</v>
      </c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1"/>
    </row>
    <row r="17" spans="1:32" ht="15.75" x14ac:dyDescent="0.25">
      <c r="A17" s="3">
        <v>9</v>
      </c>
      <c r="B17" s="259">
        <f>I4</f>
        <v>0</v>
      </c>
      <c r="C17" s="65">
        <f>SUM(C15+Platzierung!U11)</f>
        <v>0.12152777777777776</v>
      </c>
      <c r="D17" s="66">
        <v>6</v>
      </c>
      <c r="E17" s="3">
        <v>1</v>
      </c>
      <c r="F17" s="3">
        <v>9</v>
      </c>
      <c r="G17" s="8">
        <f>Platzierung!T18</f>
        <v>0</v>
      </c>
      <c r="H17" s="35" t="s">
        <v>17</v>
      </c>
      <c r="I17" s="8">
        <f>Platzierung!T19</f>
        <v>0</v>
      </c>
      <c r="J17" s="8">
        <f>Platzierung!T22</f>
        <v>0</v>
      </c>
      <c r="K17" s="63"/>
      <c r="L17" s="64" t="s">
        <v>0</v>
      </c>
      <c r="M17" s="63"/>
      <c r="N17" s="63"/>
      <c r="O17" s="64" t="s">
        <v>0</v>
      </c>
      <c r="P17" s="63"/>
      <c r="Q17" s="63"/>
      <c r="R17" s="64" t="s">
        <v>0</v>
      </c>
      <c r="S17" s="63"/>
      <c r="T17" s="46"/>
      <c r="U17" s="46">
        <f t="shared" si="0"/>
        <v>0</v>
      </c>
      <c r="V17" s="64" t="s">
        <v>0</v>
      </c>
      <c r="W17" s="46">
        <f t="shared" si="1"/>
        <v>0</v>
      </c>
      <c r="X17" s="46"/>
      <c r="Y17" s="46">
        <f t="shared" si="2"/>
        <v>0</v>
      </c>
      <c r="Z17" s="64" t="s">
        <v>0</v>
      </c>
      <c r="AA17" s="46">
        <f t="shared" si="3"/>
        <v>0</v>
      </c>
      <c r="AB17" s="46"/>
      <c r="AC17" s="133"/>
      <c r="AD17" s="46">
        <f t="shared" si="4"/>
        <v>0</v>
      </c>
      <c r="AE17" s="64" t="s">
        <v>0</v>
      </c>
      <c r="AF17" s="46">
        <f t="shared" si="5"/>
        <v>0</v>
      </c>
    </row>
    <row r="18" spans="1:32" ht="15.75" x14ac:dyDescent="0.25">
      <c r="A18" s="3">
        <v>10</v>
      </c>
      <c r="B18" s="259">
        <f>I4</f>
        <v>0</v>
      </c>
      <c r="C18" s="262">
        <f>C17</f>
        <v>0.12152777777777776</v>
      </c>
      <c r="D18" s="265">
        <v>6</v>
      </c>
      <c r="E18" s="3">
        <v>2</v>
      </c>
      <c r="F18" s="3">
        <v>10</v>
      </c>
      <c r="G18" s="8">
        <f>Platzierung!T16</f>
        <v>0</v>
      </c>
      <c r="H18" s="35" t="s">
        <v>17</v>
      </c>
      <c r="I18" s="8">
        <f>Platzierung!T21</f>
        <v>0</v>
      </c>
      <c r="J18" s="8">
        <f>Platzierung!T17</f>
        <v>0</v>
      </c>
      <c r="K18" s="63"/>
      <c r="L18" s="64" t="s">
        <v>0</v>
      </c>
      <c r="M18" s="63"/>
      <c r="N18" s="63"/>
      <c r="O18" s="64" t="s">
        <v>0</v>
      </c>
      <c r="P18" s="63"/>
      <c r="Q18" s="63"/>
      <c r="R18" s="64" t="s">
        <v>0</v>
      </c>
      <c r="S18" s="63"/>
      <c r="T18" s="46"/>
      <c r="U18" s="46">
        <f t="shared" ref="U18:U23" si="6">IF(Y18&gt;0,IF(Y18&gt;AA18,"2",IF(Y18&lt;AA18,"0",1)),0)</f>
        <v>0</v>
      </c>
      <c r="V18" s="64" t="s">
        <v>0</v>
      </c>
      <c r="W18" s="46">
        <f t="shared" ref="W18:W23" si="7">IF(AA18&gt;0,IF(AA18&gt;Y18,"2",IF(AA18&lt;Y18,"0",1)),0)</f>
        <v>0</v>
      </c>
      <c r="X18" s="46"/>
      <c r="Y18" s="46">
        <f t="shared" ref="Y18:Y23" si="8">IF(K18&gt;M18,1,0)+IF(N18&gt;P18,1,0)+IF(Q18&gt;S18,1,0)</f>
        <v>0</v>
      </c>
      <c r="Z18" s="64" t="s">
        <v>0</v>
      </c>
      <c r="AA18" s="46">
        <f t="shared" ref="AA18:AA23" si="9">IF(K18&lt;M18,1,0)+IF(N18&lt;P18,1,0)+IF(Q18&lt;S18,1,0)</f>
        <v>0</v>
      </c>
      <c r="AB18" s="46"/>
      <c r="AC18" s="133"/>
      <c r="AD18" s="46">
        <f t="shared" ref="AD18:AD23" si="10">K18+N18+Q18</f>
        <v>0</v>
      </c>
      <c r="AE18" s="64" t="s">
        <v>0</v>
      </c>
      <c r="AF18" s="46">
        <f t="shared" ref="AF18:AF23" si="11">M18+P18+S18</f>
        <v>0</v>
      </c>
    </row>
    <row r="19" spans="1:32" ht="15.75" x14ac:dyDescent="0.25">
      <c r="A19" s="7">
        <v>11</v>
      </c>
      <c r="B19" s="258">
        <f>I4</f>
        <v>0</v>
      </c>
      <c r="C19" s="61">
        <f>SUM(C17+Platzierung!U11)</f>
        <v>0.14583333333333331</v>
      </c>
      <c r="D19" s="62">
        <v>7</v>
      </c>
      <c r="E19" s="7">
        <v>1</v>
      </c>
      <c r="F19" s="7">
        <v>11</v>
      </c>
      <c r="G19" s="25">
        <f>Platzierung!T17</f>
        <v>0</v>
      </c>
      <c r="H19" s="26" t="s">
        <v>17</v>
      </c>
      <c r="I19" s="25">
        <f>Platzierung!T22</f>
        <v>0</v>
      </c>
      <c r="J19" s="25">
        <f>Platzierung!T20</f>
        <v>0</v>
      </c>
      <c r="K19" s="27"/>
      <c r="L19" s="28" t="s">
        <v>0</v>
      </c>
      <c r="M19" s="27"/>
      <c r="N19" s="27"/>
      <c r="O19" s="28" t="s">
        <v>0</v>
      </c>
      <c r="P19" s="27"/>
      <c r="Q19" s="27"/>
      <c r="R19" s="28" t="s">
        <v>0</v>
      </c>
      <c r="S19" s="27"/>
      <c r="T19" s="45"/>
      <c r="U19" s="45">
        <f t="shared" si="6"/>
        <v>0</v>
      </c>
      <c r="V19" s="28" t="s">
        <v>0</v>
      </c>
      <c r="W19" s="45">
        <f t="shared" si="7"/>
        <v>0</v>
      </c>
      <c r="X19" s="45"/>
      <c r="Y19" s="45">
        <f t="shared" si="8"/>
        <v>0</v>
      </c>
      <c r="Z19" s="28" t="s">
        <v>0</v>
      </c>
      <c r="AA19" s="45">
        <f t="shared" si="9"/>
        <v>0</v>
      </c>
      <c r="AB19" s="45"/>
      <c r="AC19" s="132"/>
      <c r="AD19" s="45">
        <f t="shared" si="10"/>
        <v>0</v>
      </c>
      <c r="AE19" s="28" t="s">
        <v>0</v>
      </c>
      <c r="AF19" s="45">
        <f t="shared" si="11"/>
        <v>0</v>
      </c>
    </row>
    <row r="20" spans="1:32" x14ac:dyDescent="0.2">
      <c r="A20" s="7"/>
      <c r="B20" s="258">
        <f>I4</f>
        <v>0</v>
      </c>
      <c r="C20" s="319">
        <f>C19</f>
        <v>0.14583333333333331</v>
      </c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1"/>
    </row>
    <row r="21" spans="1:32" ht="15.75" x14ac:dyDescent="0.25">
      <c r="A21" s="3">
        <v>12</v>
      </c>
      <c r="B21" s="259">
        <f>I4</f>
        <v>0</v>
      </c>
      <c r="C21" s="65">
        <f>SUM(C19+Platzierung!U11)</f>
        <v>0.17013888888888887</v>
      </c>
      <c r="D21" s="66">
        <v>8</v>
      </c>
      <c r="E21" s="3">
        <v>1</v>
      </c>
      <c r="F21" s="3">
        <v>12</v>
      </c>
      <c r="G21" s="8">
        <f>Platzierung!T20</f>
        <v>0</v>
      </c>
      <c r="H21" s="35" t="s">
        <v>17</v>
      </c>
      <c r="I21" s="8">
        <f>Platzierung!T21</f>
        <v>0</v>
      </c>
      <c r="J21" s="8">
        <f>Platzierung!T17</f>
        <v>0</v>
      </c>
      <c r="K21" s="63"/>
      <c r="L21" s="64" t="s">
        <v>0</v>
      </c>
      <c r="M21" s="63"/>
      <c r="N21" s="63"/>
      <c r="O21" s="64" t="s">
        <v>0</v>
      </c>
      <c r="P21" s="63"/>
      <c r="Q21" s="63"/>
      <c r="R21" s="64" t="s">
        <v>0</v>
      </c>
      <c r="S21" s="63"/>
      <c r="T21" s="46"/>
      <c r="U21" s="46">
        <f t="shared" si="6"/>
        <v>0</v>
      </c>
      <c r="V21" s="64" t="s">
        <v>0</v>
      </c>
      <c r="W21" s="46">
        <f t="shared" si="7"/>
        <v>0</v>
      </c>
      <c r="X21" s="46"/>
      <c r="Y21" s="46">
        <f t="shared" si="8"/>
        <v>0</v>
      </c>
      <c r="Z21" s="64" t="s">
        <v>0</v>
      </c>
      <c r="AA21" s="46">
        <f t="shared" si="9"/>
        <v>0</v>
      </c>
      <c r="AB21" s="46"/>
      <c r="AC21" s="133"/>
      <c r="AD21" s="46">
        <f t="shared" si="10"/>
        <v>0</v>
      </c>
      <c r="AE21" s="64" t="s">
        <v>0</v>
      </c>
      <c r="AF21" s="46">
        <f t="shared" si="11"/>
        <v>0</v>
      </c>
    </row>
    <row r="22" spans="1:32" ht="15.75" x14ac:dyDescent="0.25">
      <c r="A22" s="3">
        <v>13</v>
      </c>
      <c r="B22" s="259">
        <f>I4</f>
        <v>0</v>
      </c>
      <c r="C22" s="262">
        <f>C21</f>
        <v>0.17013888888888887</v>
      </c>
      <c r="D22" s="265">
        <v>8</v>
      </c>
      <c r="E22" s="3">
        <v>2</v>
      </c>
      <c r="F22" s="3">
        <v>13</v>
      </c>
      <c r="G22" s="8">
        <f>Platzierung!T16</f>
        <v>0</v>
      </c>
      <c r="H22" s="35" t="s">
        <v>17</v>
      </c>
      <c r="I22" s="8">
        <f>Platzierung!T19</f>
        <v>0</v>
      </c>
      <c r="J22" s="8">
        <f>Platzierung!T18</f>
        <v>0</v>
      </c>
      <c r="K22" s="63"/>
      <c r="L22" s="64" t="s">
        <v>0</v>
      </c>
      <c r="M22" s="63"/>
      <c r="N22" s="63"/>
      <c r="O22" s="64" t="s">
        <v>0</v>
      </c>
      <c r="P22" s="63"/>
      <c r="Q22" s="63"/>
      <c r="R22" s="64" t="s">
        <v>0</v>
      </c>
      <c r="S22" s="63"/>
      <c r="T22" s="46"/>
      <c r="U22" s="46">
        <f t="shared" si="6"/>
        <v>0</v>
      </c>
      <c r="V22" s="64" t="s">
        <v>0</v>
      </c>
      <c r="W22" s="46">
        <f t="shared" si="7"/>
        <v>0</v>
      </c>
      <c r="X22" s="46"/>
      <c r="Y22" s="46">
        <f t="shared" si="8"/>
        <v>0</v>
      </c>
      <c r="Z22" s="64" t="s">
        <v>0</v>
      </c>
      <c r="AA22" s="46">
        <f t="shared" si="9"/>
        <v>0</v>
      </c>
      <c r="AB22" s="46"/>
      <c r="AC22" s="133"/>
      <c r="AD22" s="46">
        <f t="shared" si="10"/>
        <v>0</v>
      </c>
      <c r="AE22" s="64" t="s">
        <v>0</v>
      </c>
      <c r="AF22" s="46">
        <f t="shared" si="11"/>
        <v>0</v>
      </c>
    </row>
    <row r="23" spans="1:32" ht="15.75" x14ac:dyDescent="0.25">
      <c r="A23" s="7">
        <v>14</v>
      </c>
      <c r="B23" s="258">
        <f>I4</f>
        <v>0</v>
      </c>
      <c r="C23" s="61">
        <f>SUM(C21+Platzierung!U11)</f>
        <v>0.19444444444444442</v>
      </c>
      <c r="D23" s="62">
        <v>9</v>
      </c>
      <c r="E23" s="7">
        <v>1</v>
      </c>
      <c r="F23" s="7">
        <v>14</v>
      </c>
      <c r="G23" s="25">
        <f>Platzierung!T18</f>
        <v>0</v>
      </c>
      <c r="H23" s="26" t="s">
        <v>17</v>
      </c>
      <c r="I23" s="25">
        <f>Platzierung!T22</f>
        <v>0</v>
      </c>
      <c r="J23" s="25">
        <f>Platzierung!T16</f>
        <v>0</v>
      </c>
      <c r="K23" s="27"/>
      <c r="L23" s="28" t="s">
        <v>0</v>
      </c>
      <c r="M23" s="27"/>
      <c r="N23" s="27"/>
      <c r="O23" s="28" t="s">
        <v>0</v>
      </c>
      <c r="P23" s="27"/>
      <c r="Q23" s="27"/>
      <c r="R23" s="28" t="s">
        <v>0</v>
      </c>
      <c r="S23" s="27"/>
      <c r="T23" s="45"/>
      <c r="U23" s="45">
        <f t="shared" si="6"/>
        <v>0</v>
      </c>
      <c r="V23" s="28" t="s">
        <v>0</v>
      </c>
      <c r="W23" s="45">
        <f t="shared" si="7"/>
        <v>0</v>
      </c>
      <c r="X23" s="45"/>
      <c r="Y23" s="45">
        <f t="shared" si="8"/>
        <v>0</v>
      </c>
      <c r="Z23" s="28" t="s">
        <v>0</v>
      </c>
      <c r="AA23" s="45">
        <f t="shared" si="9"/>
        <v>0</v>
      </c>
      <c r="AB23" s="45"/>
      <c r="AC23" s="132"/>
      <c r="AD23" s="45">
        <f t="shared" si="10"/>
        <v>0</v>
      </c>
      <c r="AE23" s="28" t="s">
        <v>0</v>
      </c>
      <c r="AF23" s="45">
        <f t="shared" si="11"/>
        <v>0</v>
      </c>
    </row>
    <row r="24" spans="1:32" x14ac:dyDescent="0.2">
      <c r="A24" s="7"/>
      <c r="B24" s="258">
        <f>I4</f>
        <v>0</v>
      </c>
      <c r="C24" s="319">
        <f>C23</f>
        <v>0.19444444444444442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1"/>
    </row>
    <row r="25" spans="1:32" x14ac:dyDescent="0.2">
      <c r="A25" s="6"/>
      <c r="B25" s="260"/>
      <c r="T25" s="42"/>
      <c r="U25" s="42"/>
      <c r="V25" s="42"/>
      <c r="W25" s="42"/>
      <c r="AC25" s="134"/>
    </row>
    <row r="26" spans="1:32" s="19" customFormat="1" ht="23.25" x14ac:dyDescent="0.35">
      <c r="A26" s="17"/>
      <c r="B26" s="261"/>
      <c r="C26" s="15"/>
      <c r="D26" s="16"/>
      <c r="E26" s="16"/>
      <c r="F26" s="280" t="s">
        <v>3</v>
      </c>
      <c r="H26" s="17"/>
      <c r="I26" s="18">
        <f>Platzierung!U30</f>
        <v>0</v>
      </c>
      <c r="J26" s="17">
        <f>Platzierung!T30</f>
        <v>0</v>
      </c>
      <c r="K26" s="15"/>
      <c r="L26" s="15"/>
      <c r="M26" s="15"/>
      <c r="N26" s="15"/>
      <c r="O26" s="15"/>
      <c r="P26" s="15"/>
      <c r="Q26" s="278">
        <f>Platzierung!T31</f>
        <v>0</v>
      </c>
      <c r="R26" s="15"/>
      <c r="S26" s="15"/>
      <c r="T26" s="43"/>
      <c r="U26" s="43"/>
      <c r="V26" s="43"/>
      <c r="W26" s="43"/>
      <c r="X26" s="43"/>
      <c r="Y26" s="43"/>
      <c r="Z26" s="43"/>
      <c r="AA26" s="43"/>
      <c r="AB26" s="43"/>
      <c r="AC26" s="130"/>
      <c r="AD26" s="43"/>
      <c r="AE26" s="43"/>
      <c r="AF26" s="43"/>
    </row>
    <row r="27" spans="1:32" s="19" customFormat="1" ht="20.25" x14ac:dyDescent="0.3">
      <c r="A27" s="17"/>
      <c r="B27" s="261"/>
      <c r="C27" s="15"/>
      <c r="D27" s="16"/>
      <c r="E27" s="16"/>
      <c r="F27" s="17"/>
      <c r="H27" s="17"/>
      <c r="I27" s="18"/>
      <c r="J27" s="279">
        <f>Platzierung!U31</f>
        <v>0</v>
      </c>
      <c r="K27" s="15"/>
      <c r="L27" s="15"/>
      <c r="M27" s="15"/>
      <c r="N27" s="15"/>
      <c r="O27" s="15"/>
      <c r="P27" s="15"/>
      <c r="Q27" s="279">
        <f>Platzierung!X31</f>
        <v>0</v>
      </c>
      <c r="R27" s="15"/>
      <c r="S27" s="15"/>
      <c r="T27" s="43"/>
      <c r="U27" s="43"/>
      <c r="V27" s="43"/>
      <c r="W27" s="43"/>
      <c r="X27" s="43"/>
      <c r="Y27" s="43"/>
      <c r="Z27" s="43"/>
      <c r="AA27" s="43"/>
      <c r="AB27" s="43"/>
      <c r="AC27" s="130"/>
      <c r="AD27" s="43"/>
      <c r="AE27" s="43"/>
      <c r="AF27" s="43"/>
    </row>
    <row r="28" spans="1:32" s="36" customFormat="1" ht="15.75" x14ac:dyDescent="0.25">
      <c r="A28" s="32" t="s">
        <v>14</v>
      </c>
      <c r="B28" s="257" t="s">
        <v>20</v>
      </c>
      <c r="C28" s="31" t="s">
        <v>9</v>
      </c>
      <c r="D28" s="32" t="s">
        <v>5</v>
      </c>
      <c r="E28" s="32" t="s">
        <v>4</v>
      </c>
      <c r="F28" s="32" t="s">
        <v>14</v>
      </c>
      <c r="G28" s="33" t="s">
        <v>8</v>
      </c>
      <c r="H28" s="34"/>
      <c r="I28" s="33" t="s">
        <v>7</v>
      </c>
      <c r="J28" s="35" t="s">
        <v>6</v>
      </c>
      <c r="K28" s="315" t="s">
        <v>80</v>
      </c>
      <c r="L28" s="315"/>
      <c r="M28" s="315"/>
      <c r="N28" s="315" t="s">
        <v>81</v>
      </c>
      <c r="O28" s="315"/>
      <c r="P28" s="315"/>
      <c r="Q28" s="315" t="s">
        <v>82</v>
      </c>
      <c r="R28" s="315"/>
      <c r="S28" s="315"/>
      <c r="T28" s="44"/>
      <c r="U28" s="316" t="s">
        <v>2</v>
      </c>
      <c r="V28" s="316"/>
      <c r="W28" s="316"/>
      <c r="X28" s="44"/>
      <c r="Y28" s="316" t="s">
        <v>83</v>
      </c>
      <c r="Z28" s="316"/>
      <c r="AA28" s="316"/>
      <c r="AB28" s="44"/>
      <c r="AC28" s="131"/>
      <c r="AD28" s="316" t="s">
        <v>1</v>
      </c>
      <c r="AE28" s="316"/>
      <c r="AF28" s="316"/>
    </row>
    <row r="29" spans="1:32" ht="15.75" x14ac:dyDescent="0.25">
      <c r="A29" s="7">
        <v>15</v>
      </c>
      <c r="B29" s="258">
        <f>I26</f>
        <v>0</v>
      </c>
      <c r="C29" s="61">
        <f>Platzierung!X30</f>
        <v>0</v>
      </c>
      <c r="D29" s="62">
        <v>1</v>
      </c>
      <c r="E29" s="7">
        <v>1</v>
      </c>
      <c r="F29" s="7">
        <v>15</v>
      </c>
      <c r="G29" s="25">
        <f>Platzierung!T16</f>
        <v>0</v>
      </c>
      <c r="H29" s="26" t="s">
        <v>17</v>
      </c>
      <c r="I29" s="25">
        <f>Platzierung!T20</f>
        <v>0</v>
      </c>
      <c r="J29" s="25">
        <f>Platzierung!T18</f>
        <v>0</v>
      </c>
      <c r="K29" s="27"/>
      <c r="L29" s="28" t="s">
        <v>0</v>
      </c>
      <c r="M29" s="27"/>
      <c r="N29" s="27"/>
      <c r="O29" s="28" t="s">
        <v>0</v>
      </c>
      <c r="P29" s="27"/>
      <c r="Q29" s="27"/>
      <c r="R29" s="28" t="s">
        <v>0</v>
      </c>
      <c r="S29" s="27"/>
      <c r="T29" s="45"/>
      <c r="U29" s="45">
        <f t="shared" ref="U29:U44" si="12">IF(Y29&gt;0,IF(Y29&gt;AA29,"2",IF(Y29&lt;AA29,"0",1)),0)</f>
        <v>0</v>
      </c>
      <c r="V29" s="28" t="s">
        <v>0</v>
      </c>
      <c r="W29" s="45">
        <f t="shared" ref="W29:W44" si="13">IF(AA29&gt;0,IF(AA29&gt;Y29,"2",IF(AA29&lt;Y29,"0",1)),0)</f>
        <v>0</v>
      </c>
      <c r="X29" s="45"/>
      <c r="Y29" s="45">
        <f t="shared" ref="Y29:Y44" si="14">IF(K29&gt;M29,1,0)+IF(N29&gt;P29,1,0)+IF(Q29&gt;S29,1,0)</f>
        <v>0</v>
      </c>
      <c r="Z29" s="28" t="s">
        <v>0</v>
      </c>
      <c r="AA29" s="45">
        <f t="shared" ref="AA29:AA44" si="15">IF(K29&lt;M29,1,0)+IF(N29&lt;P29,1,0)+IF(Q29&lt;S29,1,0)</f>
        <v>0</v>
      </c>
      <c r="AB29" s="45"/>
      <c r="AC29" s="132"/>
      <c r="AD29" s="45">
        <f t="shared" ref="AD29:AD44" si="16">K29+N29+Q29</f>
        <v>0</v>
      </c>
      <c r="AE29" s="28" t="s">
        <v>0</v>
      </c>
      <c r="AF29" s="45">
        <f t="shared" ref="AF29:AF44" si="17">M29+P29+S29</f>
        <v>0</v>
      </c>
    </row>
    <row r="30" spans="1:32" ht="15.75" x14ac:dyDescent="0.25">
      <c r="A30" s="7">
        <v>16</v>
      </c>
      <c r="B30" s="258">
        <f>I26</f>
        <v>0</v>
      </c>
      <c r="C30" s="263">
        <f>C29</f>
        <v>0</v>
      </c>
      <c r="D30" s="264">
        <v>1</v>
      </c>
      <c r="E30" s="7">
        <v>2</v>
      </c>
      <c r="F30" s="7">
        <v>16</v>
      </c>
      <c r="G30" s="25">
        <f>Platzierung!T17</f>
        <v>0</v>
      </c>
      <c r="H30" s="26" t="s">
        <v>17</v>
      </c>
      <c r="I30" s="25">
        <f>Platzierung!T19</f>
        <v>0</v>
      </c>
      <c r="J30" s="25">
        <f>Platzierung!T21</f>
        <v>0</v>
      </c>
      <c r="K30" s="27"/>
      <c r="L30" s="28" t="s">
        <v>0</v>
      </c>
      <c r="M30" s="27"/>
      <c r="N30" s="27"/>
      <c r="O30" s="28" t="s">
        <v>0</v>
      </c>
      <c r="P30" s="27"/>
      <c r="Q30" s="27"/>
      <c r="R30" s="28" t="s">
        <v>0</v>
      </c>
      <c r="S30" s="27"/>
      <c r="T30" s="45"/>
      <c r="U30" s="45">
        <f t="shared" si="12"/>
        <v>0</v>
      </c>
      <c r="V30" s="28" t="s">
        <v>0</v>
      </c>
      <c r="W30" s="45">
        <f t="shared" si="13"/>
        <v>0</v>
      </c>
      <c r="X30" s="45"/>
      <c r="Y30" s="45">
        <f t="shared" si="14"/>
        <v>0</v>
      </c>
      <c r="Z30" s="28" t="s">
        <v>0</v>
      </c>
      <c r="AA30" s="45">
        <f t="shared" si="15"/>
        <v>0</v>
      </c>
      <c r="AB30" s="45"/>
      <c r="AC30" s="132"/>
      <c r="AD30" s="45">
        <f t="shared" si="16"/>
        <v>0</v>
      </c>
      <c r="AE30" s="28" t="s">
        <v>0</v>
      </c>
      <c r="AF30" s="45">
        <f t="shared" si="17"/>
        <v>0</v>
      </c>
    </row>
    <row r="31" spans="1:32" ht="15.75" x14ac:dyDescent="0.25">
      <c r="A31" s="3">
        <v>17</v>
      </c>
      <c r="B31" s="259">
        <f>I26</f>
        <v>0</v>
      </c>
      <c r="C31" s="65">
        <f>SUM(C29+Platzierung!U11)</f>
        <v>2.4305555555555552E-2</v>
      </c>
      <c r="D31" s="270">
        <v>2</v>
      </c>
      <c r="E31" s="3">
        <v>1</v>
      </c>
      <c r="F31" s="3">
        <v>17</v>
      </c>
      <c r="G31" s="8">
        <f>Platzierung!T21</f>
        <v>0</v>
      </c>
      <c r="H31" s="35" t="s">
        <v>17</v>
      </c>
      <c r="I31" s="8">
        <f>Platzierung!T22</f>
        <v>0</v>
      </c>
      <c r="J31" s="8">
        <f>Platzierung!T17</f>
        <v>0</v>
      </c>
      <c r="K31" s="63"/>
      <c r="L31" s="64" t="s">
        <v>0</v>
      </c>
      <c r="M31" s="63"/>
      <c r="N31" s="63"/>
      <c r="O31" s="64" t="s">
        <v>0</v>
      </c>
      <c r="P31" s="63"/>
      <c r="Q31" s="63"/>
      <c r="R31" s="64" t="s">
        <v>0</v>
      </c>
      <c r="S31" s="63"/>
      <c r="T31" s="46"/>
      <c r="U31" s="46">
        <f t="shared" si="12"/>
        <v>0</v>
      </c>
      <c r="V31" s="64" t="s">
        <v>0</v>
      </c>
      <c r="W31" s="46">
        <f t="shared" si="13"/>
        <v>0</v>
      </c>
      <c r="X31" s="46"/>
      <c r="Y31" s="46">
        <f t="shared" si="14"/>
        <v>0</v>
      </c>
      <c r="Z31" s="64" t="s">
        <v>0</v>
      </c>
      <c r="AA31" s="46">
        <f t="shared" si="15"/>
        <v>0</v>
      </c>
      <c r="AB31" s="46"/>
      <c r="AC31" s="133"/>
      <c r="AD31" s="46">
        <f t="shared" si="16"/>
        <v>0</v>
      </c>
      <c r="AE31" s="64" t="s">
        <v>0</v>
      </c>
      <c r="AF31" s="46">
        <f t="shared" si="17"/>
        <v>0</v>
      </c>
    </row>
    <row r="32" spans="1:32" ht="15.75" x14ac:dyDescent="0.25">
      <c r="A32" s="3">
        <v>18</v>
      </c>
      <c r="B32" s="259">
        <f>I26</f>
        <v>0</v>
      </c>
      <c r="C32" s="262">
        <f>C31</f>
        <v>2.4305555555555552E-2</v>
      </c>
      <c r="D32" s="265">
        <v>2</v>
      </c>
      <c r="E32" s="3">
        <v>2</v>
      </c>
      <c r="F32" s="3">
        <v>18</v>
      </c>
      <c r="G32" s="8">
        <f>Platzierung!T18</f>
        <v>0</v>
      </c>
      <c r="H32" s="35" t="s">
        <v>17</v>
      </c>
      <c r="I32" s="8">
        <f>Platzierung!T20</f>
        <v>0</v>
      </c>
      <c r="J32" s="8">
        <f>Platzierung!T19</f>
        <v>0</v>
      </c>
      <c r="K32" s="63"/>
      <c r="L32" s="64" t="s">
        <v>0</v>
      </c>
      <c r="M32" s="63"/>
      <c r="N32" s="63"/>
      <c r="O32" s="64" t="s">
        <v>0</v>
      </c>
      <c r="P32" s="63"/>
      <c r="Q32" s="63"/>
      <c r="R32" s="64" t="s">
        <v>0</v>
      </c>
      <c r="S32" s="63"/>
      <c r="T32" s="46"/>
      <c r="U32" s="46">
        <f t="shared" si="12"/>
        <v>0</v>
      </c>
      <c r="V32" s="64" t="s">
        <v>0</v>
      </c>
      <c r="W32" s="46">
        <f t="shared" si="13"/>
        <v>0</v>
      </c>
      <c r="X32" s="46"/>
      <c r="Y32" s="46">
        <f t="shared" si="14"/>
        <v>0</v>
      </c>
      <c r="Z32" s="64" t="s">
        <v>0</v>
      </c>
      <c r="AA32" s="46">
        <f t="shared" si="15"/>
        <v>0</v>
      </c>
      <c r="AB32" s="46"/>
      <c r="AC32" s="133"/>
      <c r="AD32" s="46">
        <f t="shared" si="16"/>
        <v>0</v>
      </c>
      <c r="AE32" s="64" t="s">
        <v>0</v>
      </c>
      <c r="AF32" s="46">
        <f t="shared" si="17"/>
        <v>0</v>
      </c>
    </row>
    <row r="33" spans="1:32" ht="15.75" x14ac:dyDescent="0.25">
      <c r="A33" s="7">
        <v>19</v>
      </c>
      <c r="B33" s="258">
        <f>I26</f>
        <v>0</v>
      </c>
      <c r="C33" s="61">
        <f>SUM(C31+Platzierung!U11)</f>
        <v>4.8611111111111105E-2</v>
      </c>
      <c r="D33" s="62">
        <v>3</v>
      </c>
      <c r="E33" s="7">
        <v>1</v>
      </c>
      <c r="F33" s="7">
        <v>19</v>
      </c>
      <c r="G33" s="25">
        <f>Platzierung!T17</f>
        <v>0</v>
      </c>
      <c r="H33" s="26" t="s">
        <v>17</v>
      </c>
      <c r="I33" s="25">
        <f>Platzierung!T21</f>
        <v>0</v>
      </c>
      <c r="J33" s="25">
        <f>Platzierung!T20</f>
        <v>0</v>
      </c>
      <c r="K33" s="27"/>
      <c r="L33" s="28" t="s">
        <v>0</v>
      </c>
      <c r="M33" s="27"/>
      <c r="N33" s="27"/>
      <c r="O33" s="28" t="s">
        <v>0</v>
      </c>
      <c r="P33" s="27"/>
      <c r="Q33" s="27"/>
      <c r="R33" s="28" t="s">
        <v>0</v>
      </c>
      <c r="S33" s="27"/>
      <c r="T33" s="45"/>
      <c r="U33" s="45">
        <f t="shared" si="12"/>
        <v>0</v>
      </c>
      <c r="V33" s="28" t="s">
        <v>0</v>
      </c>
      <c r="W33" s="45">
        <f t="shared" si="13"/>
        <v>0</v>
      </c>
      <c r="X33" s="45"/>
      <c r="Y33" s="45">
        <f t="shared" si="14"/>
        <v>0</v>
      </c>
      <c r="Z33" s="28" t="s">
        <v>0</v>
      </c>
      <c r="AA33" s="45">
        <f t="shared" si="15"/>
        <v>0</v>
      </c>
      <c r="AB33" s="45"/>
      <c r="AC33" s="132"/>
      <c r="AD33" s="45">
        <f t="shared" si="16"/>
        <v>0</v>
      </c>
      <c r="AE33" s="28" t="s">
        <v>0</v>
      </c>
      <c r="AF33" s="45">
        <f t="shared" si="17"/>
        <v>0</v>
      </c>
    </row>
    <row r="34" spans="1:32" ht="15.75" x14ac:dyDescent="0.25">
      <c r="A34" s="7">
        <v>20</v>
      </c>
      <c r="B34" s="258">
        <f>I26</f>
        <v>0</v>
      </c>
      <c r="C34" s="263">
        <f>C33</f>
        <v>4.8611111111111105E-2</v>
      </c>
      <c r="D34" s="264">
        <v>3</v>
      </c>
      <c r="E34" s="7">
        <v>2</v>
      </c>
      <c r="F34" s="7">
        <v>20</v>
      </c>
      <c r="G34" s="25">
        <f>Platzierung!T19</f>
        <v>0</v>
      </c>
      <c r="H34" s="26" t="s">
        <v>17</v>
      </c>
      <c r="I34" s="25">
        <f>Platzierung!T22</f>
        <v>0</v>
      </c>
      <c r="J34" s="25">
        <f>Platzierung!T16</f>
        <v>0</v>
      </c>
      <c r="K34" s="27"/>
      <c r="L34" s="28" t="s">
        <v>0</v>
      </c>
      <c r="M34" s="27"/>
      <c r="N34" s="27"/>
      <c r="O34" s="28" t="s">
        <v>0</v>
      </c>
      <c r="P34" s="27"/>
      <c r="Q34" s="27"/>
      <c r="R34" s="28" t="s">
        <v>0</v>
      </c>
      <c r="S34" s="27"/>
      <c r="T34" s="45"/>
      <c r="U34" s="45">
        <f t="shared" si="12"/>
        <v>0</v>
      </c>
      <c r="V34" s="28" t="s">
        <v>0</v>
      </c>
      <c r="W34" s="45">
        <f t="shared" si="13"/>
        <v>0</v>
      </c>
      <c r="X34" s="45"/>
      <c r="Y34" s="45">
        <f t="shared" si="14"/>
        <v>0</v>
      </c>
      <c r="Z34" s="28" t="s">
        <v>0</v>
      </c>
      <c r="AA34" s="45">
        <f t="shared" si="15"/>
        <v>0</v>
      </c>
      <c r="AB34" s="45"/>
      <c r="AC34" s="132"/>
      <c r="AD34" s="45">
        <f t="shared" si="16"/>
        <v>0</v>
      </c>
      <c r="AE34" s="28" t="s">
        <v>0</v>
      </c>
      <c r="AF34" s="45">
        <f t="shared" si="17"/>
        <v>0</v>
      </c>
    </row>
    <row r="35" spans="1:32" ht="15.75" x14ac:dyDescent="0.25">
      <c r="A35" s="3">
        <v>21</v>
      </c>
      <c r="B35" s="259">
        <f>I26</f>
        <v>0</v>
      </c>
      <c r="C35" s="65">
        <f>SUM(C33+Platzierung!U11)</f>
        <v>7.2916666666666657E-2</v>
      </c>
      <c r="D35" s="66">
        <v>4</v>
      </c>
      <c r="E35" s="3">
        <v>1</v>
      </c>
      <c r="F35" s="3">
        <v>21</v>
      </c>
      <c r="G35" s="8">
        <f>Platzierung!T16</f>
        <v>0</v>
      </c>
      <c r="H35" s="35" t="s">
        <v>17</v>
      </c>
      <c r="I35" s="8">
        <f>Platzierung!T18</f>
        <v>0</v>
      </c>
      <c r="J35" s="8">
        <f>Platzierung!T22</f>
        <v>0</v>
      </c>
      <c r="K35" s="63"/>
      <c r="L35" s="64" t="s">
        <v>0</v>
      </c>
      <c r="M35" s="63"/>
      <c r="N35" s="63"/>
      <c r="O35" s="64" t="s">
        <v>0</v>
      </c>
      <c r="P35" s="63"/>
      <c r="Q35" s="63"/>
      <c r="R35" s="64" t="s">
        <v>0</v>
      </c>
      <c r="S35" s="63"/>
      <c r="T35" s="46"/>
      <c r="U35" s="46">
        <f t="shared" si="12"/>
        <v>0</v>
      </c>
      <c r="V35" s="64" t="s">
        <v>0</v>
      </c>
      <c r="W35" s="46">
        <f t="shared" si="13"/>
        <v>0</v>
      </c>
      <c r="X35" s="46"/>
      <c r="Y35" s="46">
        <f t="shared" si="14"/>
        <v>0</v>
      </c>
      <c r="Z35" s="64" t="s">
        <v>0</v>
      </c>
      <c r="AA35" s="46">
        <f t="shared" si="15"/>
        <v>0</v>
      </c>
      <c r="AB35" s="46"/>
      <c r="AC35" s="133"/>
      <c r="AD35" s="46">
        <f t="shared" si="16"/>
        <v>0</v>
      </c>
      <c r="AE35" s="64" t="s">
        <v>0</v>
      </c>
      <c r="AF35" s="46">
        <f t="shared" si="17"/>
        <v>0</v>
      </c>
    </row>
    <row r="36" spans="1:32" x14ac:dyDescent="0.2">
      <c r="A36" s="3"/>
      <c r="B36" s="259">
        <f>I26</f>
        <v>0</v>
      </c>
      <c r="C36" s="322">
        <f>C35</f>
        <v>7.2916666666666657E-2</v>
      </c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1"/>
    </row>
    <row r="37" spans="1:32" ht="15.75" x14ac:dyDescent="0.25">
      <c r="A37" s="7">
        <v>22</v>
      </c>
      <c r="B37" s="258">
        <f>I26</f>
        <v>0</v>
      </c>
      <c r="C37" s="61">
        <f>SUM(C35+Platzierung!U11)</f>
        <v>9.722222222222221E-2</v>
      </c>
      <c r="D37" s="62">
        <v>5</v>
      </c>
      <c r="E37" s="7">
        <v>1</v>
      </c>
      <c r="F37" s="7">
        <v>22</v>
      </c>
      <c r="G37" s="25">
        <f>Platzierung!T20</f>
        <v>0</v>
      </c>
      <c r="H37" s="26" t="s">
        <v>17</v>
      </c>
      <c r="I37" s="25">
        <f>Platzierung!T19</f>
        <v>0</v>
      </c>
      <c r="J37" s="25">
        <f>Platzierung!T16</f>
        <v>0</v>
      </c>
      <c r="K37" s="27"/>
      <c r="L37" s="28" t="s">
        <v>0</v>
      </c>
      <c r="M37" s="27"/>
      <c r="N37" s="27"/>
      <c r="O37" s="28" t="s">
        <v>0</v>
      </c>
      <c r="P37" s="27"/>
      <c r="Q37" s="27"/>
      <c r="R37" s="28" t="s">
        <v>0</v>
      </c>
      <c r="S37" s="27"/>
      <c r="T37" s="45"/>
      <c r="U37" s="45">
        <f t="shared" si="12"/>
        <v>0</v>
      </c>
      <c r="V37" s="28" t="s">
        <v>0</v>
      </c>
      <c r="W37" s="45">
        <f t="shared" si="13"/>
        <v>0</v>
      </c>
      <c r="X37" s="45"/>
      <c r="Y37" s="45">
        <f t="shared" si="14"/>
        <v>0</v>
      </c>
      <c r="Z37" s="28" t="s">
        <v>0</v>
      </c>
      <c r="AA37" s="45">
        <f t="shared" si="15"/>
        <v>0</v>
      </c>
      <c r="AB37" s="45"/>
      <c r="AC37" s="132"/>
      <c r="AD37" s="45">
        <f t="shared" si="16"/>
        <v>0</v>
      </c>
      <c r="AE37" s="28" t="s">
        <v>0</v>
      </c>
      <c r="AF37" s="45">
        <f t="shared" si="17"/>
        <v>0</v>
      </c>
    </row>
    <row r="38" spans="1:32" ht="15.75" x14ac:dyDescent="0.25">
      <c r="A38" s="7">
        <v>23</v>
      </c>
      <c r="B38" s="258">
        <f>I26</f>
        <v>0</v>
      </c>
      <c r="C38" s="263">
        <f>C37</f>
        <v>9.722222222222221E-2</v>
      </c>
      <c r="D38" s="264">
        <v>5</v>
      </c>
      <c r="E38" s="7">
        <v>2</v>
      </c>
      <c r="F38" s="7">
        <v>23</v>
      </c>
      <c r="G38" s="25">
        <f>Platzierung!T22</f>
        <v>0</v>
      </c>
      <c r="H38" s="26" t="s">
        <v>17</v>
      </c>
      <c r="I38" s="25">
        <f>Platzierung!T17</f>
        <v>0</v>
      </c>
      <c r="J38" s="25">
        <f>Platzierung!T18</f>
        <v>0</v>
      </c>
      <c r="K38" s="27"/>
      <c r="L38" s="28" t="s">
        <v>0</v>
      </c>
      <c r="M38" s="27"/>
      <c r="N38" s="27"/>
      <c r="O38" s="28" t="s">
        <v>0</v>
      </c>
      <c r="P38" s="27"/>
      <c r="Q38" s="27"/>
      <c r="R38" s="28" t="s">
        <v>0</v>
      </c>
      <c r="S38" s="27"/>
      <c r="T38" s="45"/>
      <c r="U38" s="45">
        <f t="shared" si="12"/>
        <v>0</v>
      </c>
      <c r="V38" s="28" t="s">
        <v>0</v>
      </c>
      <c r="W38" s="45">
        <f t="shared" si="13"/>
        <v>0</v>
      </c>
      <c r="X38" s="45"/>
      <c r="Y38" s="45">
        <f t="shared" si="14"/>
        <v>0</v>
      </c>
      <c r="Z38" s="28" t="s">
        <v>0</v>
      </c>
      <c r="AA38" s="45">
        <f t="shared" si="15"/>
        <v>0</v>
      </c>
      <c r="AB38" s="45"/>
      <c r="AC38" s="132"/>
      <c r="AD38" s="45">
        <f t="shared" si="16"/>
        <v>0</v>
      </c>
      <c r="AE38" s="28" t="s">
        <v>0</v>
      </c>
      <c r="AF38" s="45">
        <f t="shared" si="17"/>
        <v>0</v>
      </c>
    </row>
    <row r="39" spans="1:32" ht="15.75" x14ac:dyDescent="0.25">
      <c r="A39" s="3">
        <v>24</v>
      </c>
      <c r="B39" s="259">
        <f>I26</f>
        <v>0</v>
      </c>
      <c r="C39" s="65">
        <f>SUM(C37+Platzierung!U11)</f>
        <v>0.12152777777777776</v>
      </c>
      <c r="D39" s="66">
        <v>6</v>
      </c>
      <c r="E39" s="3">
        <v>1</v>
      </c>
      <c r="F39" s="3">
        <v>24</v>
      </c>
      <c r="G39" s="8">
        <f>Platzierung!T21</f>
        <v>0</v>
      </c>
      <c r="H39" s="35" t="s">
        <v>17</v>
      </c>
      <c r="I39" s="8">
        <f>Platzierung!T18</f>
        <v>0</v>
      </c>
      <c r="J39" s="8">
        <f>Platzierung!T20</f>
        <v>0</v>
      </c>
      <c r="K39" s="63"/>
      <c r="L39" s="64" t="s">
        <v>0</v>
      </c>
      <c r="M39" s="63"/>
      <c r="N39" s="63"/>
      <c r="O39" s="64" t="s">
        <v>0</v>
      </c>
      <c r="P39" s="63"/>
      <c r="Q39" s="63"/>
      <c r="R39" s="64" t="s">
        <v>0</v>
      </c>
      <c r="S39" s="63"/>
      <c r="T39" s="46"/>
      <c r="U39" s="46">
        <f t="shared" si="12"/>
        <v>0</v>
      </c>
      <c r="V39" s="64" t="s">
        <v>0</v>
      </c>
      <c r="W39" s="46">
        <f t="shared" si="13"/>
        <v>0</v>
      </c>
      <c r="X39" s="46"/>
      <c r="Y39" s="46">
        <f t="shared" si="14"/>
        <v>0</v>
      </c>
      <c r="Z39" s="64" t="s">
        <v>0</v>
      </c>
      <c r="AA39" s="46">
        <f t="shared" si="15"/>
        <v>0</v>
      </c>
      <c r="AB39" s="46"/>
      <c r="AC39" s="133"/>
      <c r="AD39" s="46">
        <f t="shared" si="16"/>
        <v>0</v>
      </c>
      <c r="AE39" s="64" t="s">
        <v>0</v>
      </c>
      <c r="AF39" s="46">
        <f t="shared" si="17"/>
        <v>0</v>
      </c>
    </row>
    <row r="40" spans="1:32" x14ac:dyDescent="0.2">
      <c r="A40" s="3"/>
      <c r="B40" s="259">
        <f>I26</f>
        <v>0</v>
      </c>
      <c r="C40" s="322">
        <f>C39</f>
        <v>0.12152777777777776</v>
      </c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1"/>
    </row>
    <row r="41" spans="1:32" ht="15.75" x14ac:dyDescent="0.25">
      <c r="A41" s="7">
        <v>25</v>
      </c>
      <c r="B41" s="258">
        <f>I26</f>
        <v>0</v>
      </c>
      <c r="C41" s="61">
        <f>SUM(C39+Platzierung!U11)</f>
        <v>0.14583333333333331</v>
      </c>
      <c r="D41" s="62">
        <v>7</v>
      </c>
      <c r="E41" s="7">
        <v>1</v>
      </c>
      <c r="F41" s="7">
        <v>25</v>
      </c>
      <c r="G41" s="25">
        <f>Platzierung!T19</f>
        <v>0</v>
      </c>
      <c r="H41" s="26" t="s">
        <v>17</v>
      </c>
      <c r="I41" s="25">
        <f>Platzierung!T16</f>
        <v>0</v>
      </c>
      <c r="J41" s="25">
        <f>Platzierung!T21</f>
        <v>0</v>
      </c>
      <c r="K41" s="27"/>
      <c r="L41" s="28" t="s">
        <v>0</v>
      </c>
      <c r="M41" s="27"/>
      <c r="N41" s="27"/>
      <c r="O41" s="28" t="s">
        <v>0</v>
      </c>
      <c r="P41" s="27"/>
      <c r="Q41" s="27"/>
      <c r="R41" s="28" t="s">
        <v>0</v>
      </c>
      <c r="S41" s="27"/>
      <c r="T41" s="45"/>
      <c r="U41" s="45">
        <f t="shared" si="12"/>
        <v>0</v>
      </c>
      <c r="V41" s="28" t="s">
        <v>0</v>
      </c>
      <c r="W41" s="45">
        <f t="shared" si="13"/>
        <v>0</v>
      </c>
      <c r="X41" s="45"/>
      <c r="Y41" s="45">
        <f t="shared" si="14"/>
        <v>0</v>
      </c>
      <c r="Z41" s="28" t="s">
        <v>0</v>
      </c>
      <c r="AA41" s="45">
        <f t="shared" si="15"/>
        <v>0</v>
      </c>
      <c r="AB41" s="45"/>
      <c r="AC41" s="132"/>
      <c r="AD41" s="45">
        <f t="shared" si="16"/>
        <v>0</v>
      </c>
      <c r="AE41" s="28" t="s">
        <v>0</v>
      </c>
      <c r="AF41" s="45">
        <f t="shared" si="17"/>
        <v>0</v>
      </c>
    </row>
    <row r="42" spans="1:32" ht="15.75" x14ac:dyDescent="0.25">
      <c r="A42" s="7">
        <v>26</v>
      </c>
      <c r="B42" s="258">
        <f>I26</f>
        <v>0</v>
      </c>
      <c r="C42" s="263">
        <f>C41</f>
        <v>0.14583333333333331</v>
      </c>
      <c r="D42" s="264">
        <v>7</v>
      </c>
      <c r="E42" s="7">
        <v>2</v>
      </c>
      <c r="F42" s="7">
        <v>26</v>
      </c>
      <c r="G42" s="25">
        <f>Platzierung!T20</f>
        <v>0</v>
      </c>
      <c r="H42" s="26" t="s">
        <v>17</v>
      </c>
      <c r="I42" s="25">
        <f>Platzierung!T17</f>
        <v>0</v>
      </c>
      <c r="J42" s="25">
        <f>Platzierung!T22</f>
        <v>0</v>
      </c>
      <c r="K42" s="27"/>
      <c r="L42" s="28" t="s">
        <v>0</v>
      </c>
      <c r="M42" s="27"/>
      <c r="N42" s="27"/>
      <c r="O42" s="28" t="s">
        <v>0</v>
      </c>
      <c r="P42" s="27"/>
      <c r="Q42" s="27"/>
      <c r="R42" s="28" t="s">
        <v>0</v>
      </c>
      <c r="S42" s="27"/>
      <c r="T42" s="45"/>
      <c r="U42" s="45">
        <f>IF(Y42&gt;0,IF(Y42&gt;AA42,"2",IF(Y42&lt;AA42,"0",1)),0)</f>
        <v>0</v>
      </c>
      <c r="V42" s="28" t="s">
        <v>0</v>
      </c>
      <c r="W42" s="45">
        <f>IF(AA42&gt;0,IF(AA42&gt;Y42,"2",IF(AA42&lt;Y42,"0",1)),0)</f>
        <v>0</v>
      </c>
      <c r="X42" s="45"/>
      <c r="Y42" s="45">
        <f>IF(K42&gt;M42,1,0)+IF(N42&gt;P42,1,0)+IF(Q42&gt;S42,1,0)</f>
        <v>0</v>
      </c>
      <c r="Z42" s="28" t="s">
        <v>0</v>
      </c>
      <c r="AA42" s="45">
        <f>IF(K42&lt;M42,1,0)+IF(N42&lt;P42,1,0)+IF(Q42&lt;S42,1,0)</f>
        <v>0</v>
      </c>
      <c r="AB42" s="45"/>
      <c r="AC42" s="132"/>
      <c r="AD42" s="45">
        <f>K42+N42+Q42</f>
        <v>0</v>
      </c>
      <c r="AE42" s="28" t="s">
        <v>0</v>
      </c>
      <c r="AF42" s="45">
        <f>M42+P42+S42</f>
        <v>0</v>
      </c>
    </row>
    <row r="43" spans="1:32" ht="15.75" x14ac:dyDescent="0.25">
      <c r="A43" s="3">
        <v>27</v>
      </c>
      <c r="B43" s="259">
        <f>I26</f>
        <v>0</v>
      </c>
      <c r="C43" s="65">
        <f>SUM(C41+Platzierung!U11)</f>
        <v>0.17013888888888887</v>
      </c>
      <c r="D43" s="66">
        <v>8</v>
      </c>
      <c r="E43" s="3">
        <v>1</v>
      </c>
      <c r="F43" s="3">
        <v>27</v>
      </c>
      <c r="G43" s="8">
        <f>Platzierung!T22</f>
        <v>0</v>
      </c>
      <c r="H43" s="35" t="s">
        <v>17</v>
      </c>
      <c r="I43" s="8">
        <f>Platzierung!T18</f>
        <v>0</v>
      </c>
      <c r="J43" s="8">
        <f>Platzierung!T17</f>
        <v>0</v>
      </c>
      <c r="K43" s="63"/>
      <c r="L43" s="64" t="s">
        <v>0</v>
      </c>
      <c r="M43" s="63"/>
      <c r="N43" s="63"/>
      <c r="O43" s="64" t="s">
        <v>0</v>
      </c>
      <c r="P43" s="63"/>
      <c r="Q43" s="63"/>
      <c r="R43" s="64" t="s">
        <v>0</v>
      </c>
      <c r="S43" s="63"/>
      <c r="T43" s="46"/>
      <c r="U43" s="46">
        <f t="shared" si="12"/>
        <v>0</v>
      </c>
      <c r="V43" s="64" t="s">
        <v>0</v>
      </c>
      <c r="W43" s="46">
        <f t="shared" si="13"/>
        <v>0</v>
      </c>
      <c r="X43" s="46"/>
      <c r="Y43" s="46">
        <f t="shared" si="14"/>
        <v>0</v>
      </c>
      <c r="Z43" s="64" t="s">
        <v>0</v>
      </c>
      <c r="AA43" s="46">
        <f t="shared" si="15"/>
        <v>0</v>
      </c>
      <c r="AB43" s="46"/>
      <c r="AC43" s="133"/>
      <c r="AD43" s="46">
        <f t="shared" si="16"/>
        <v>0</v>
      </c>
      <c r="AE43" s="64" t="s">
        <v>0</v>
      </c>
      <c r="AF43" s="46">
        <f t="shared" si="17"/>
        <v>0</v>
      </c>
    </row>
    <row r="44" spans="1:32" ht="15.75" x14ac:dyDescent="0.25">
      <c r="A44" s="3">
        <v>28</v>
      </c>
      <c r="B44" s="259">
        <f>I26</f>
        <v>0</v>
      </c>
      <c r="C44" s="262">
        <f>C43</f>
        <v>0.17013888888888887</v>
      </c>
      <c r="D44" s="265">
        <v>8</v>
      </c>
      <c r="E44" s="3">
        <v>2</v>
      </c>
      <c r="F44" s="3">
        <v>28</v>
      </c>
      <c r="G44" s="8">
        <f>Platzierung!T21</f>
        <v>0</v>
      </c>
      <c r="H44" s="35" t="s">
        <v>17</v>
      </c>
      <c r="I44" s="8">
        <f>Platzierung!T16</f>
        <v>0</v>
      </c>
      <c r="J44" s="8">
        <f>Platzierung!T19</f>
        <v>0</v>
      </c>
      <c r="K44" s="63"/>
      <c r="L44" s="64" t="s">
        <v>0</v>
      </c>
      <c r="M44" s="63"/>
      <c r="N44" s="63"/>
      <c r="O44" s="64" t="s">
        <v>0</v>
      </c>
      <c r="P44" s="63"/>
      <c r="Q44" s="63"/>
      <c r="R44" s="64" t="s">
        <v>0</v>
      </c>
      <c r="S44" s="63"/>
      <c r="T44" s="46"/>
      <c r="U44" s="46">
        <f t="shared" si="12"/>
        <v>0</v>
      </c>
      <c r="V44" s="64" t="s">
        <v>0</v>
      </c>
      <c r="W44" s="46">
        <f t="shared" si="13"/>
        <v>0</v>
      </c>
      <c r="X44" s="46"/>
      <c r="Y44" s="46">
        <f t="shared" si="14"/>
        <v>0</v>
      </c>
      <c r="Z44" s="64" t="s">
        <v>0</v>
      </c>
      <c r="AA44" s="46">
        <f t="shared" si="15"/>
        <v>0</v>
      </c>
      <c r="AB44" s="46"/>
      <c r="AC44" s="133"/>
      <c r="AD44" s="46">
        <f t="shared" si="16"/>
        <v>0</v>
      </c>
      <c r="AE44" s="64" t="s">
        <v>0</v>
      </c>
      <c r="AF44" s="46">
        <f t="shared" si="17"/>
        <v>0</v>
      </c>
    </row>
    <row r="45" spans="1:32" x14ac:dyDescent="0.2">
      <c r="A45" s="6"/>
      <c r="B45" s="260"/>
      <c r="T45" s="42"/>
      <c r="U45" s="42"/>
      <c r="V45" s="42"/>
      <c r="W45" s="42"/>
      <c r="AC45" s="134"/>
    </row>
    <row r="46" spans="1:32" s="19" customFormat="1" ht="23.25" x14ac:dyDescent="0.35">
      <c r="A46" s="17"/>
      <c r="B46" s="261"/>
      <c r="C46" s="15"/>
      <c r="D46" s="16"/>
      <c r="E46" s="16"/>
      <c r="F46" s="280" t="s">
        <v>176</v>
      </c>
      <c r="H46" s="17"/>
      <c r="I46" s="18">
        <f>Platzierung!U32</f>
        <v>0</v>
      </c>
      <c r="J46" s="17">
        <f>Platzierung!T32</f>
        <v>0</v>
      </c>
      <c r="K46" s="15"/>
      <c r="L46" s="15"/>
      <c r="M46" s="15"/>
      <c r="N46" s="15"/>
      <c r="O46" s="15"/>
      <c r="P46" s="15"/>
      <c r="Q46" s="278">
        <f>Platzierung!T33</f>
        <v>0</v>
      </c>
      <c r="R46" s="15"/>
      <c r="S46" s="15"/>
      <c r="T46" s="43"/>
      <c r="U46" s="43"/>
      <c r="V46" s="43"/>
      <c r="W46" s="43"/>
      <c r="X46" s="43"/>
      <c r="Y46" s="43"/>
      <c r="Z46" s="43"/>
      <c r="AA46" s="43"/>
      <c r="AB46" s="43"/>
      <c r="AC46" s="130"/>
      <c r="AD46" s="43"/>
      <c r="AE46" s="43"/>
      <c r="AF46" s="43"/>
    </row>
    <row r="47" spans="1:32" s="19" customFormat="1" ht="20.25" x14ac:dyDescent="0.3">
      <c r="A47" s="17"/>
      <c r="B47" s="261"/>
      <c r="C47" s="15"/>
      <c r="D47" s="16"/>
      <c r="E47" s="16"/>
      <c r="F47" s="17"/>
      <c r="H47" s="17"/>
      <c r="I47" s="18"/>
      <c r="J47" s="279">
        <f>Platzierung!U33</f>
        <v>0</v>
      </c>
      <c r="K47" s="15"/>
      <c r="L47" s="15"/>
      <c r="M47" s="15"/>
      <c r="N47" s="15"/>
      <c r="O47" s="15"/>
      <c r="P47" s="15"/>
      <c r="Q47" s="279">
        <f>Platzierung!X33</f>
        <v>0</v>
      </c>
      <c r="R47" s="15"/>
      <c r="S47" s="15"/>
      <c r="T47" s="43"/>
      <c r="U47" s="43"/>
      <c r="V47" s="43"/>
      <c r="W47" s="43"/>
      <c r="X47" s="43"/>
      <c r="Y47" s="43"/>
      <c r="Z47" s="43"/>
      <c r="AA47" s="43"/>
      <c r="AB47" s="43"/>
      <c r="AC47" s="130"/>
      <c r="AD47" s="43"/>
      <c r="AE47" s="43"/>
      <c r="AF47" s="43"/>
    </row>
    <row r="48" spans="1:32" s="36" customFormat="1" ht="15.75" x14ac:dyDescent="0.25">
      <c r="A48" s="32" t="s">
        <v>14</v>
      </c>
      <c r="B48" s="257" t="s">
        <v>20</v>
      </c>
      <c r="C48" s="31" t="s">
        <v>9</v>
      </c>
      <c r="D48" s="32" t="s">
        <v>5</v>
      </c>
      <c r="E48" s="32" t="s">
        <v>4</v>
      </c>
      <c r="F48" s="32" t="s">
        <v>14</v>
      </c>
      <c r="G48" s="33" t="s">
        <v>8</v>
      </c>
      <c r="H48" s="34"/>
      <c r="I48" s="33" t="s">
        <v>7</v>
      </c>
      <c r="J48" s="35" t="s">
        <v>6</v>
      </c>
      <c r="K48" s="315" t="s">
        <v>80</v>
      </c>
      <c r="L48" s="315"/>
      <c r="M48" s="315"/>
      <c r="N48" s="315" t="s">
        <v>81</v>
      </c>
      <c r="O48" s="315"/>
      <c r="P48" s="315"/>
      <c r="Q48" s="315" t="s">
        <v>82</v>
      </c>
      <c r="R48" s="315"/>
      <c r="S48" s="315"/>
      <c r="T48" s="44"/>
      <c r="U48" s="316" t="s">
        <v>2</v>
      </c>
      <c r="V48" s="316"/>
      <c r="W48" s="316"/>
      <c r="X48" s="44"/>
      <c r="Y48" s="316" t="s">
        <v>83</v>
      </c>
      <c r="Z48" s="316"/>
      <c r="AA48" s="316"/>
      <c r="AB48" s="44"/>
      <c r="AC48" s="131"/>
      <c r="AD48" s="316" t="s">
        <v>1</v>
      </c>
      <c r="AE48" s="316"/>
      <c r="AF48" s="316"/>
    </row>
    <row r="49" spans="1:32" ht="15.75" x14ac:dyDescent="0.25">
      <c r="A49" s="7">
        <v>29</v>
      </c>
      <c r="B49" s="258">
        <f>I46</f>
        <v>0</v>
      </c>
      <c r="C49" s="61">
        <f>Platzierung!X32</f>
        <v>0</v>
      </c>
      <c r="D49" s="62">
        <v>1</v>
      </c>
      <c r="E49" s="7">
        <v>1</v>
      </c>
      <c r="F49" s="7">
        <v>29</v>
      </c>
      <c r="G49" s="25">
        <f>Platzierung!T17</f>
        <v>0</v>
      </c>
      <c r="H49" s="26" t="s">
        <v>17</v>
      </c>
      <c r="I49" s="25">
        <f>Platzierung!T16</f>
        <v>0</v>
      </c>
      <c r="J49" s="25">
        <f>Platzierung!T19</f>
        <v>0</v>
      </c>
      <c r="K49" s="27"/>
      <c r="L49" s="28" t="s">
        <v>0</v>
      </c>
      <c r="M49" s="27"/>
      <c r="N49" s="27"/>
      <c r="O49" s="28" t="s">
        <v>0</v>
      </c>
      <c r="P49" s="27"/>
      <c r="Q49" s="27"/>
      <c r="R49" s="28" t="s">
        <v>0</v>
      </c>
      <c r="S49" s="27"/>
      <c r="T49" s="45"/>
      <c r="U49" s="45">
        <f t="shared" ref="U49:U59" si="18">IF(Y49&gt;0,IF(Y49&gt;AA49,"2",IF(Y49&lt;AA49,"0",1)),0)</f>
        <v>0</v>
      </c>
      <c r="V49" s="28" t="s">
        <v>0</v>
      </c>
      <c r="W49" s="45">
        <f t="shared" ref="W49:W59" si="19">IF(AA49&gt;0,IF(AA49&gt;Y49,"2",IF(AA49&lt;Y49,"0",1)),0)</f>
        <v>0</v>
      </c>
      <c r="X49" s="45"/>
      <c r="Y49" s="45">
        <f t="shared" ref="Y49:Y59" si="20">IF(K49&gt;M49,1,0)+IF(N49&gt;P49,1,0)+IF(Q49&gt;S49,1,0)</f>
        <v>0</v>
      </c>
      <c r="Z49" s="28" t="s">
        <v>0</v>
      </c>
      <c r="AA49" s="45">
        <f t="shared" ref="AA49:AA59" si="21">IF(K49&lt;M49,1,0)+IF(N49&lt;P49,1,0)+IF(Q49&lt;S49,1,0)</f>
        <v>0</v>
      </c>
      <c r="AB49" s="45"/>
      <c r="AC49" s="132"/>
      <c r="AD49" s="45">
        <f t="shared" ref="AD49:AD59" si="22">K49+N49+Q49</f>
        <v>0</v>
      </c>
      <c r="AE49" s="28" t="s">
        <v>0</v>
      </c>
      <c r="AF49" s="45">
        <f t="shared" ref="AF49:AF59" si="23">M49+P49+S49</f>
        <v>0</v>
      </c>
    </row>
    <row r="50" spans="1:32" ht="15.75" x14ac:dyDescent="0.25">
      <c r="A50" s="7">
        <v>30</v>
      </c>
      <c r="B50" s="258">
        <f>I46</f>
        <v>0</v>
      </c>
      <c r="C50" s="61">
        <f>C49</f>
        <v>0</v>
      </c>
      <c r="D50" s="264">
        <v>1</v>
      </c>
      <c r="E50" s="7">
        <v>2</v>
      </c>
      <c r="F50" s="7">
        <v>30</v>
      </c>
      <c r="G50" s="25">
        <f>Platzierung!T22</f>
        <v>0</v>
      </c>
      <c r="H50" s="26" t="s">
        <v>17</v>
      </c>
      <c r="I50" s="25">
        <f>Platzierung!T21</f>
        <v>0</v>
      </c>
      <c r="J50" s="25">
        <f>Platzierung!T18</f>
        <v>0</v>
      </c>
      <c r="K50" s="27"/>
      <c r="L50" s="28" t="s">
        <v>0</v>
      </c>
      <c r="M50" s="27"/>
      <c r="N50" s="27"/>
      <c r="O50" s="28" t="s">
        <v>0</v>
      </c>
      <c r="P50" s="27"/>
      <c r="Q50" s="27"/>
      <c r="R50" s="28" t="s">
        <v>0</v>
      </c>
      <c r="S50" s="27"/>
      <c r="T50" s="45"/>
      <c r="U50" s="45">
        <f t="shared" si="18"/>
        <v>0</v>
      </c>
      <c r="V50" s="28" t="s">
        <v>0</v>
      </c>
      <c r="W50" s="45">
        <f t="shared" si="19"/>
        <v>0</v>
      </c>
      <c r="X50" s="45"/>
      <c r="Y50" s="45">
        <f t="shared" si="20"/>
        <v>0</v>
      </c>
      <c r="Z50" s="28" t="s">
        <v>0</v>
      </c>
      <c r="AA50" s="45">
        <f t="shared" si="21"/>
        <v>0</v>
      </c>
      <c r="AB50" s="45"/>
      <c r="AC50" s="132"/>
      <c r="AD50" s="45">
        <f t="shared" si="22"/>
        <v>0</v>
      </c>
      <c r="AE50" s="28" t="s">
        <v>0</v>
      </c>
      <c r="AF50" s="45">
        <f t="shared" si="23"/>
        <v>0</v>
      </c>
    </row>
    <row r="51" spans="1:32" ht="15.75" x14ac:dyDescent="0.25">
      <c r="A51" s="3">
        <v>31</v>
      </c>
      <c r="B51" s="259">
        <f>I46</f>
        <v>0</v>
      </c>
      <c r="C51" s="65">
        <f>SUM(C29+Platzierung!U11)</f>
        <v>2.4305555555555552E-2</v>
      </c>
      <c r="D51" s="270">
        <v>2</v>
      </c>
      <c r="E51" s="3">
        <v>1</v>
      </c>
      <c r="F51" s="3">
        <v>31</v>
      </c>
      <c r="G51" s="8">
        <f>Platzierung!T19</f>
        <v>0</v>
      </c>
      <c r="H51" s="35" t="s">
        <v>17</v>
      </c>
      <c r="I51" s="8">
        <f>Platzierung!T18</f>
        <v>0</v>
      </c>
      <c r="J51" s="8">
        <f>Platzierung!T20</f>
        <v>0</v>
      </c>
      <c r="K51" s="63"/>
      <c r="L51" s="64" t="s">
        <v>0</v>
      </c>
      <c r="M51" s="63"/>
      <c r="N51" s="63"/>
      <c r="O51" s="64" t="s">
        <v>0</v>
      </c>
      <c r="P51" s="63"/>
      <c r="Q51" s="63"/>
      <c r="R51" s="64" t="s">
        <v>0</v>
      </c>
      <c r="S51" s="63"/>
      <c r="T51" s="46"/>
      <c r="U51" s="46">
        <f t="shared" si="18"/>
        <v>0</v>
      </c>
      <c r="V51" s="64" t="s">
        <v>0</v>
      </c>
      <c r="W51" s="46">
        <f t="shared" si="19"/>
        <v>0</v>
      </c>
      <c r="X51" s="46"/>
      <c r="Y51" s="46">
        <f t="shared" si="20"/>
        <v>0</v>
      </c>
      <c r="Z51" s="64" t="s">
        <v>0</v>
      </c>
      <c r="AA51" s="46">
        <f t="shared" si="21"/>
        <v>0</v>
      </c>
      <c r="AB51" s="46"/>
      <c r="AC51" s="133"/>
      <c r="AD51" s="46">
        <f t="shared" si="22"/>
        <v>0</v>
      </c>
      <c r="AE51" s="64" t="s">
        <v>0</v>
      </c>
      <c r="AF51" s="46">
        <f t="shared" si="23"/>
        <v>0</v>
      </c>
    </row>
    <row r="52" spans="1:32" x14ac:dyDescent="0.2">
      <c r="A52" s="3"/>
      <c r="B52" s="259">
        <f>I46</f>
        <v>0</v>
      </c>
      <c r="C52" s="322">
        <f>C51</f>
        <v>2.4305555555555552E-2</v>
      </c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1"/>
    </row>
    <row r="53" spans="1:32" ht="15.75" x14ac:dyDescent="0.25">
      <c r="A53" s="7">
        <v>32</v>
      </c>
      <c r="B53" s="258">
        <f>I46</f>
        <v>0</v>
      </c>
      <c r="C53" s="61">
        <f>SUM(C51+Platzierung!U11)</f>
        <v>4.8611111111111105E-2</v>
      </c>
      <c r="D53" s="62">
        <v>3</v>
      </c>
      <c r="E53" s="7">
        <v>1</v>
      </c>
      <c r="F53" s="7">
        <v>32</v>
      </c>
      <c r="G53" s="25">
        <f>Platzierung!T20</f>
        <v>0</v>
      </c>
      <c r="H53" s="26" t="s">
        <v>17</v>
      </c>
      <c r="I53" s="25">
        <f>Platzierung!T16</f>
        <v>0</v>
      </c>
      <c r="J53" s="25">
        <f>Platzierung!T22</f>
        <v>0</v>
      </c>
      <c r="K53" s="27"/>
      <c r="L53" s="28" t="s">
        <v>0</v>
      </c>
      <c r="M53" s="27"/>
      <c r="N53" s="27"/>
      <c r="O53" s="28" t="s">
        <v>0</v>
      </c>
      <c r="P53" s="27"/>
      <c r="Q53" s="27"/>
      <c r="R53" s="28" t="s">
        <v>0</v>
      </c>
      <c r="S53" s="27"/>
      <c r="T53" s="45"/>
      <c r="U53" s="45">
        <f t="shared" si="18"/>
        <v>0</v>
      </c>
      <c r="V53" s="28" t="s">
        <v>0</v>
      </c>
      <c r="W53" s="45">
        <f t="shared" si="19"/>
        <v>0</v>
      </c>
      <c r="X53" s="45"/>
      <c r="Y53" s="45">
        <f t="shared" si="20"/>
        <v>0</v>
      </c>
      <c r="Z53" s="28" t="s">
        <v>0</v>
      </c>
      <c r="AA53" s="45">
        <f t="shared" si="21"/>
        <v>0</v>
      </c>
      <c r="AB53" s="45"/>
      <c r="AC53" s="132"/>
      <c r="AD53" s="45">
        <f t="shared" si="22"/>
        <v>0</v>
      </c>
      <c r="AE53" s="28" t="s">
        <v>0</v>
      </c>
      <c r="AF53" s="45">
        <f t="shared" si="23"/>
        <v>0</v>
      </c>
    </row>
    <row r="54" spans="1:32" ht="15.75" x14ac:dyDescent="0.25">
      <c r="A54" s="7">
        <v>33</v>
      </c>
      <c r="B54" s="258">
        <f>I46</f>
        <v>0</v>
      </c>
      <c r="C54" s="61">
        <f>C53</f>
        <v>4.8611111111111105E-2</v>
      </c>
      <c r="D54" s="264">
        <v>3</v>
      </c>
      <c r="E54" s="7">
        <v>2</v>
      </c>
      <c r="F54" s="7">
        <v>33</v>
      </c>
      <c r="G54" s="25">
        <f>Platzierung!T21</f>
        <v>0</v>
      </c>
      <c r="H54" s="26" t="s">
        <v>17</v>
      </c>
      <c r="I54" s="25">
        <f>Platzierung!T17</f>
        <v>0</v>
      </c>
      <c r="J54" s="25">
        <f>Platzierung!T19</f>
        <v>0</v>
      </c>
      <c r="K54" s="27"/>
      <c r="L54" s="28" t="s">
        <v>0</v>
      </c>
      <c r="M54" s="27"/>
      <c r="N54" s="27"/>
      <c r="O54" s="28" t="s">
        <v>0</v>
      </c>
      <c r="P54" s="27"/>
      <c r="Q54" s="27"/>
      <c r="R54" s="28" t="s">
        <v>0</v>
      </c>
      <c r="S54" s="27"/>
      <c r="T54" s="45"/>
      <c r="U54" s="45">
        <f t="shared" si="18"/>
        <v>0</v>
      </c>
      <c r="V54" s="28" t="s">
        <v>0</v>
      </c>
      <c r="W54" s="45">
        <f t="shared" si="19"/>
        <v>0</v>
      </c>
      <c r="X54" s="45"/>
      <c r="Y54" s="45">
        <f t="shared" si="20"/>
        <v>0</v>
      </c>
      <c r="Z54" s="28" t="s">
        <v>0</v>
      </c>
      <c r="AA54" s="45">
        <f t="shared" si="21"/>
        <v>0</v>
      </c>
      <c r="AB54" s="45"/>
      <c r="AC54" s="132"/>
      <c r="AD54" s="45">
        <f t="shared" si="22"/>
        <v>0</v>
      </c>
      <c r="AE54" s="28" t="s">
        <v>0</v>
      </c>
      <c r="AF54" s="45">
        <f t="shared" si="23"/>
        <v>0</v>
      </c>
    </row>
    <row r="55" spans="1:32" ht="15.75" x14ac:dyDescent="0.25">
      <c r="A55" s="3">
        <v>34</v>
      </c>
      <c r="B55" s="259">
        <f>I46</f>
        <v>0</v>
      </c>
      <c r="C55" s="65">
        <f>SUM(C53+Platzierung!U11)</f>
        <v>7.2916666666666657E-2</v>
      </c>
      <c r="D55" s="66">
        <v>4</v>
      </c>
      <c r="E55" s="3">
        <v>1</v>
      </c>
      <c r="F55" s="3">
        <v>34</v>
      </c>
      <c r="G55" s="8">
        <f>Platzierung!T22</f>
        <v>0</v>
      </c>
      <c r="H55" s="35" t="s">
        <v>17</v>
      </c>
      <c r="I55" s="8">
        <f>Platzierung!T19</f>
        <v>0</v>
      </c>
      <c r="J55" s="8">
        <f>Platzierung!T16</f>
        <v>0</v>
      </c>
      <c r="K55" s="63"/>
      <c r="L55" s="64" t="s">
        <v>0</v>
      </c>
      <c r="M55" s="63"/>
      <c r="N55" s="63"/>
      <c r="O55" s="64" t="s">
        <v>0</v>
      </c>
      <c r="P55" s="63"/>
      <c r="Q55" s="63"/>
      <c r="R55" s="64" t="s">
        <v>0</v>
      </c>
      <c r="S55" s="63"/>
      <c r="T55" s="46"/>
      <c r="U55" s="46">
        <f t="shared" si="18"/>
        <v>0</v>
      </c>
      <c r="V55" s="64" t="s">
        <v>0</v>
      </c>
      <c r="W55" s="46">
        <f t="shared" si="19"/>
        <v>0</v>
      </c>
      <c r="X55" s="46"/>
      <c r="Y55" s="46">
        <f t="shared" si="20"/>
        <v>0</v>
      </c>
      <c r="Z55" s="64" t="s">
        <v>0</v>
      </c>
      <c r="AA55" s="46">
        <f t="shared" si="21"/>
        <v>0</v>
      </c>
      <c r="AB55" s="46"/>
      <c r="AC55" s="133"/>
      <c r="AD55" s="46">
        <f t="shared" si="22"/>
        <v>0</v>
      </c>
      <c r="AE55" s="64" t="s">
        <v>0</v>
      </c>
      <c r="AF55" s="46">
        <f t="shared" si="23"/>
        <v>0</v>
      </c>
    </row>
    <row r="56" spans="1:32" x14ac:dyDescent="0.2">
      <c r="A56" s="3"/>
      <c r="B56" s="259">
        <f>I46</f>
        <v>0</v>
      </c>
      <c r="C56" s="322">
        <f>C55</f>
        <v>7.2916666666666657E-2</v>
      </c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4"/>
    </row>
    <row r="57" spans="1:32" ht="15.75" x14ac:dyDescent="0.25">
      <c r="A57" s="7">
        <v>35</v>
      </c>
      <c r="B57" s="258">
        <f>I46</f>
        <v>0</v>
      </c>
      <c r="C57" s="61">
        <f>SUM(C55+Platzierung!U11)</f>
        <v>9.722222222222221E-2</v>
      </c>
      <c r="D57" s="62">
        <v>5</v>
      </c>
      <c r="E57" s="7">
        <v>1</v>
      </c>
      <c r="F57" s="7">
        <v>35</v>
      </c>
      <c r="G57" s="25">
        <f>Platzierung!T20</f>
        <v>0</v>
      </c>
      <c r="H57" s="26" t="s">
        <v>17</v>
      </c>
      <c r="I57" s="25">
        <f>Platzierung!T18</f>
        <v>0</v>
      </c>
      <c r="J57" s="25">
        <f>Platzierung!T17</f>
        <v>0</v>
      </c>
      <c r="K57" s="27"/>
      <c r="L57" s="28" t="s">
        <v>0</v>
      </c>
      <c r="M57" s="27"/>
      <c r="N57" s="27"/>
      <c r="O57" s="28" t="s">
        <v>0</v>
      </c>
      <c r="P57" s="27"/>
      <c r="Q57" s="27"/>
      <c r="R57" s="28" t="s">
        <v>0</v>
      </c>
      <c r="S57" s="27"/>
      <c r="T57" s="45"/>
      <c r="U57" s="45">
        <f t="shared" si="18"/>
        <v>0</v>
      </c>
      <c r="V57" s="28" t="s">
        <v>0</v>
      </c>
      <c r="W57" s="45">
        <f t="shared" si="19"/>
        <v>0</v>
      </c>
      <c r="X57" s="45"/>
      <c r="Y57" s="45">
        <f t="shared" si="20"/>
        <v>0</v>
      </c>
      <c r="Z57" s="28" t="s">
        <v>0</v>
      </c>
      <c r="AA57" s="45">
        <f t="shared" si="21"/>
        <v>0</v>
      </c>
      <c r="AB57" s="45"/>
      <c r="AC57" s="132"/>
      <c r="AD57" s="45">
        <f t="shared" si="22"/>
        <v>0</v>
      </c>
      <c r="AE57" s="28" t="s">
        <v>0</v>
      </c>
      <c r="AF57" s="45">
        <f t="shared" si="23"/>
        <v>0</v>
      </c>
    </row>
    <row r="58" spans="1:32" ht="15.75" x14ac:dyDescent="0.25">
      <c r="A58" s="7">
        <v>36</v>
      </c>
      <c r="B58" s="258">
        <f>I46</f>
        <v>0</v>
      </c>
      <c r="C58" s="61">
        <f>C57</f>
        <v>9.722222222222221E-2</v>
      </c>
      <c r="D58" s="264">
        <v>5</v>
      </c>
      <c r="E58" s="7">
        <v>2</v>
      </c>
      <c r="F58" s="7">
        <v>36</v>
      </c>
      <c r="G58" s="25">
        <f>Platzierung!T22</f>
        <v>0</v>
      </c>
      <c r="H58" s="26" t="s">
        <v>17</v>
      </c>
      <c r="I58" s="25">
        <f>Platzierung!T16</f>
        <v>0</v>
      </c>
      <c r="J58" s="25">
        <f>Platzierung!T21</f>
        <v>0</v>
      </c>
      <c r="K58" s="27"/>
      <c r="L58" s="28" t="s">
        <v>0</v>
      </c>
      <c r="M58" s="27"/>
      <c r="N58" s="27"/>
      <c r="O58" s="28" t="s">
        <v>0</v>
      </c>
      <c r="P58" s="27"/>
      <c r="Q58" s="27"/>
      <c r="R58" s="28" t="s">
        <v>0</v>
      </c>
      <c r="S58" s="27"/>
      <c r="T58" s="45"/>
      <c r="U58" s="45">
        <f t="shared" si="18"/>
        <v>0</v>
      </c>
      <c r="V58" s="28" t="s">
        <v>0</v>
      </c>
      <c r="W58" s="45">
        <f t="shared" si="19"/>
        <v>0</v>
      </c>
      <c r="X58" s="45"/>
      <c r="Y58" s="45">
        <f t="shared" si="20"/>
        <v>0</v>
      </c>
      <c r="Z58" s="28" t="s">
        <v>0</v>
      </c>
      <c r="AA58" s="45">
        <f t="shared" si="21"/>
        <v>0</v>
      </c>
      <c r="AB58" s="45"/>
      <c r="AC58" s="132"/>
      <c r="AD58" s="45">
        <f t="shared" si="22"/>
        <v>0</v>
      </c>
      <c r="AE58" s="28" t="s">
        <v>0</v>
      </c>
      <c r="AF58" s="45">
        <f t="shared" si="23"/>
        <v>0</v>
      </c>
    </row>
    <row r="59" spans="1:32" ht="15.75" x14ac:dyDescent="0.25">
      <c r="A59" s="3">
        <v>37</v>
      </c>
      <c r="B59" s="259">
        <f>I46</f>
        <v>0</v>
      </c>
      <c r="C59" s="65">
        <f>SUM(C57+Platzierung!U11)</f>
        <v>0.12152777777777776</v>
      </c>
      <c r="D59" s="66">
        <v>6</v>
      </c>
      <c r="E59" s="3">
        <v>1</v>
      </c>
      <c r="F59" s="3">
        <v>37</v>
      </c>
      <c r="G59" s="8">
        <f>Platzierung!T19</f>
        <v>0</v>
      </c>
      <c r="H59" s="35" t="s">
        <v>17</v>
      </c>
      <c r="I59" s="8">
        <f>Platzierung!T17</f>
        <v>0</v>
      </c>
      <c r="J59" s="8">
        <f>Platzierung!T22</f>
        <v>0</v>
      </c>
      <c r="K59" s="63"/>
      <c r="L59" s="64" t="s">
        <v>0</v>
      </c>
      <c r="M59" s="63"/>
      <c r="N59" s="63"/>
      <c r="O59" s="64" t="s">
        <v>0</v>
      </c>
      <c r="P59" s="63"/>
      <c r="Q59" s="63"/>
      <c r="R59" s="64" t="s">
        <v>0</v>
      </c>
      <c r="S59" s="63"/>
      <c r="T59" s="46"/>
      <c r="U59" s="46">
        <f t="shared" si="18"/>
        <v>0</v>
      </c>
      <c r="V59" s="64" t="s">
        <v>0</v>
      </c>
      <c r="W59" s="46">
        <f t="shared" si="19"/>
        <v>0</v>
      </c>
      <c r="X59" s="46"/>
      <c r="Y59" s="46">
        <f t="shared" si="20"/>
        <v>0</v>
      </c>
      <c r="Z59" s="64" t="s">
        <v>0</v>
      </c>
      <c r="AA59" s="46">
        <f t="shared" si="21"/>
        <v>0</v>
      </c>
      <c r="AB59" s="46"/>
      <c r="AC59" s="133"/>
      <c r="AD59" s="46">
        <f t="shared" si="22"/>
        <v>0</v>
      </c>
      <c r="AE59" s="64" t="s">
        <v>0</v>
      </c>
      <c r="AF59" s="46">
        <f t="shared" si="23"/>
        <v>0</v>
      </c>
    </row>
    <row r="60" spans="1:32" ht="15.75" x14ac:dyDescent="0.25">
      <c r="A60" s="3">
        <v>38</v>
      </c>
      <c r="B60" s="259">
        <f>I46</f>
        <v>0</v>
      </c>
      <c r="C60" s="65">
        <f>C59</f>
        <v>0.12152777777777776</v>
      </c>
      <c r="D60" s="265">
        <v>6</v>
      </c>
      <c r="E60" s="3">
        <v>2</v>
      </c>
      <c r="F60" s="3">
        <v>38</v>
      </c>
      <c r="G60" s="8">
        <f>Platzierung!T21</f>
        <v>0</v>
      </c>
      <c r="H60" s="35" t="s">
        <v>17</v>
      </c>
      <c r="I60" s="8">
        <f>Platzierung!T20</f>
        <v>0</v>
      </c>
      <c r="J60" s="8">
        <f>Platzierung!T18</f>
        <v>0</v>
      </c>
      <c r="K60" s="63"/>
      <c r="L60" s="64" t="s">
        <v>0</v>
      </c>
      <c r="M60" s="63"/>
      <c r="N60" s="63"/>
      <c r="O60" s="64" t="s">
        <v>0</v>
      </c>
      <c r="P60" s="63"/>
      <c r="Q60" s="63"/>
      <c r="R60" s="64" t="s">
        <v>0</v>
      </c>
      <c r="S60" s="63"/>
      <c r="T60" s="46"/>
      <c r="U60" s="46">
        <f t="shared" ref="U60:U65" si="24">IF(Y60&gt;0,IF(Y60&gt;AA60,"2",IF(Y60&lt;AA60,"0",1)),0)</f>
        <v>0</v>
      </c>
      <c r="V60" s="64" t="s">
        <v>0</v>
      </c>
      <c r="W60" s="46">
        <f t="shared" ref="W60:W65" si="25">IF(AA60&gt;0,IF(AA60&gt;Y60,"2",IF(AA60&lt;Y60,"0",1)),0)</f>
        <v>0</v>
      </c>
      <c r="X60" s="46"/>
      <c r="Y60" s="46">
        <f t="shared" ref="Y60:Y65" si="26">IF(K60&gt;M60,1,0)+IF(N60&gt;P60,1,0)+IF(Q60&gt;S60,1,0)</f>
        <v>0</v>
      </c>
      <c r="Z60" s="64" t="s">
        <v>0</v>
      </c>
      <c r="AA60" s="46">
        <f t="shared" ref="AA60:AA65" si="27">IF(K60&lt;M60,1,0)+IF(N60&lt;P60,1,0)+IF(Q60&lt;S60,1,0)</f>
        <v>0</v>
      </c>
      <c r="AB60" s="46"/>
      <c r="AC60" s="133"/>
      <c r="AD60" s="46">
        <f t="shared" ref="AD60:AD65" si="28">K60+N60+Q60</f>
        <v>0</v>
      </c>
      <c r="AE60" s="64" t="s">
        <v>0</v>
      </c>
      <c r="AF60" s="46">
        <f t="shared" ref="AF60:AF65" si="29">M60+P60+S60</f>
        <v>0</v>
      </c>
    </row>
    <row r="61" spans="1:32" ht="15.75" x14ac:dyDescent="0.25">
      <c r="A61" s="7">
        <v>39</v>
      </c>
      <c r="B61" s="258">
        <f>I46</f>
        <v>0</v>
      </c>
      <c r="C61" s="61">
        <f>SUM(C59+Platzierung!U11)</f>
        <v>0.14583333333333331</v>
      </c>
      <c r="D61" s="62">
        <v>7</v>
      </c>
      <c r="E61" s="7">
        <v>1</v>
      </c>
      <c r="F61" s="7">
        <v>39</v>
      </c>
      <c r="G61" s="25">
        <f>Platzierung!T18</f>
        <v>0</v>
      </c>
      <c r="H61" s="26" t="s">
        <v>17</v>
      </c>
      <c r="I61" s="25">
        <f>Platzierung!T16</f>
        <v>0</v>
      </c>
      <c r="J61" s="25">
        <f>Platzierung!T20</f>
        <v>0</v>
      </c>
      <c r="K61" s="27"/>
      <c r="L61" s="28" t="s">
        <v>0</v>
      </c>
      <c r="M61" s="27"/>
      <c r="N61" s="27"/>
      <c r="O61" s="28" t="s">
        <v>0</v>
      </c>
      <c r="P61" s="27"/>
      <c r="Q61" s="27"/>
      <c r="R61" s="28" t="s">
        <v>0</v>
      </c>
      <c r="S61" s="27"/>
      <c r="T61" s="45"/>
      <c r="U61" s="45">
        <f t="shared" si="24"/>
        <v>0</v>
      </c>
      <c r="V61" s="28" t="s">
        <v>0</v>
      </c>
      <c r="W61" s="45">
        <f t="shared" si="25"/>
        <v>0</v>
      </c>
      <c r="X61" s="45"/>
      <c r="Y61" s="45">
        <f t="shared" si="26"/>
        <v>0</v>
      </c>
      <c r="Z61" s="28" t="s">
        <v>0</v>
      </c>
      <c r="AA61" s="45">
        <f t="shared" si="27"/>
        <v>0</v>
      </c>
      <c r="AB61" s="45"/>
      <c r="AC61" s="132"/>
      <c r="AD61" s="45">
        <f t="shared" si="28"/>
        <v>0</v>
      </c>
      <c r="AE61" s="28" t="s">
        <v>0</v>
      </c>
      <c r="AF61" s="45">
        <f t="shared" si="29"/>
        <v>0</v>
      </c>
    </row>
    <row r="62" spans="1:32" x14ac:dyDescent="0.2">
      <c r="A62" s="7"/>
      <c r="B62" s="258">
        <f>I46</f>
        <v>0</v>
      </c>
      <c r="C62" s="319">
        <f>C61</f>
        <v>0.14583333333333331</v>
      </c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1"/>
    </row>
    <row r="63" spans="1:32" ht="15.75" x14ac:dyDescent="0.25">
      <c r="A63" s="3">
        <v>40</v>
      </c>
      <c r="B63" s="259">
        <f>I46</f>
        <v>0</v>
      </c>
      <c r="C63" s="65">
        <f>SUM(C61+Platzierung!U11)</f>
        <v>0.17013888888888887</v>
      </c>
      <c r="D63" s="66">
        <v>8</v>
      </c>
      <c r="E63" s="3">
        <v>1</v>
      </c>
      <c r="F63" s="3">
        <v>40</v>
      </c>
      <c r="G63" s="8">
        <f>Platzierung!T22</f>
        <v>0</v>
      </c>
      <c r="H63" s="35" t="s">
        <v>17</v>
      </c>
      <c r="I63" s="8">
        <f>Platzierung!T20</f>
        <v>0</v>
      </c>
      <c r="J63" s="8">
        <f>Platzierung!T16</f>
        <v>0</v>
      </c>
      <c r="K63" s="63"/>
      <c r="L63" s="64" t="s">
        <v>0</v>
      </c>
      <c r="M63" s="63"/>
      <c r="N63" s="63"/>
      <c r="O63" s="64" t="s">
        <v>0</v>
      </c>
      <c r="P63" s="63"/>
      <c r="Q63" s="63"/>
      <c r="R63" s="64" t="s">
        <v>0</v>
      </c>
      <c r="S63" s="63"/>
      <c r="T63" s="46"/>
      <c r="U63" s="46">
        <f t="shared" si="24"/>
        <v>0</v>
      </c>
      <c r="V63" s="64" t="s">
        <v>0</v>
      </c>
      <c r="W63" s="46">
        <f t="shared" si="25"/>
        <v>0</v>
      </c>
      <c r="X63" s="46"/>
      <c r="Y63" s="46">
        <f t="shared" si="26"/>
        <v>0</v>
      </c>
      <c r="Z63" s="64" t="s">
        <v>0</v>
      </c>
      <c r="AA63" s="46">
        <f t="shared" si="27"/>
        <v>0</v>
      </c>
      <c r="AB63" s="46"/>
      <c r="AC63" s="133"/>
      <c r="AD63" s="46">
        <f t="shared" si="28"/>
        <v>0</v>
      </c>
      <c r="AE63" s="64" t="s">
        <v>0</v>
      </c>
      <c r="AF63" s="46">
        <f t="shared" si="29"/>
        <v>0</v>
      </c>
    </row>
    <row r="64" spans="1:32" ht="15.75" x14ac:dyDescent="0.25">
      <c r="A64" s="3">
        <v>41</v>
      </c>
      <c r="B64" s="259">
        <f>I46</f>
        <v>0</v>
      </c>
      <c r="C64" s="65">
        <f>C63</f>
        <v>0.17013888888888887</v>
      </c>
      <c r="D64" s="265">
        <v>8</v>
      </c>
      <c r="E64" s="3">
        <v>2</v>
      </c>
      <c r="F64" s="3">
        <v>41</v>
      </c>
      <c r="G64" s="8">
        <f>Platzierung!T21</f>
        <v>0</v>
      </c>
      <c r="H64" s="35" t="s">
        <v>17</v>
      </c>
      <c r="I64" s="8">
        <f>Platzierung!T19</f>
        <v>0</v>
      </c>
      <c r="J64" s="8">
        <f>Platzierung!T17</f>
        <v>0</v>
      </c>
      <c r="K64" s="63"/>
      <c r="L64" s="64" t="s">
        <v>0</v>
      </c>
      <c r="M64" s="63"/>
      <c r="N64" s="63"/>
      <c r="O64" s="64" t="s">
        <v>0</v>
      </c>
      <c r="P64" s="63"/>
      <c r="Q64" s="63"/>
      <c r="R64" s="64" t="s">
        <v>0</v>
      </c>
      <c r="S64" s="63"/>
      <c r="T64" s="46"/>
      <c r="U64" s="46">
        <f t="shared" si="24"/>
        <v>0</v>
      </c>
      <c r="V64" s="64" t="s">
        <v>0</v>
      </c>
      <c r="W64" s="46">
        <f t="shared" si="25"/>
        <v>0</v>
      </c>
      <c r="X64" s="46"/>
      <c r="Y64" s="46">
        <f t="shared" si="26"/>
        <v>0</v>
      </c>
      <c r="Z64" s="64" t="s">
        <v>0</v>
      </c>
      <c r="AA64" s="46">
        <f t="shared" si="27"/>
        <v>0</v>
      </c>
      <c r="AB64" s="46"/>
      <c r="AC64" s="133"/>
      <c r="AD64" s="46">
        <f t="shared" si="28"/>
        <v>0</v>
      </c>
      <c r="AE64" s="64" t="s">
        <v>0</v>
      </c>
      <c r="AF64" s="46">
        <f t="shared" si="29"/>
        <v>0</v>
      </c>
    </row>
    <row r="65" spans="1:32" ht="15.75" x14ac:dyDescent="0.25">
      <c r="A65" s="7">
        <v>42</v>
      </c>
      <c r="B65" s="258">
        <f>I46</f>
        <v>0</v>
      </c>
      <c r="C65" s="61">
        <f>SUM(C63+Platzierung!U11)</f>
        <v>0.19444444444444442</v>
      </c>
      <c r="D65" s="62">
        <v>9</v>
      </c>
      <c r="E65" s="7">
        <v>1</v>
      </c>
      <c r="F65" s="7">
        <v>42</v>
      </c>
      <c r="G65" s="25">
        <f>Platzierung!T18</f>
        <v>0</v>
      </c>
      <c r="H65" s="26" t="s">
        <v>17</v>
      </c>
      <c r="I65" s="25">
        <f>Platzierung!T17</f>
        <v>0</v>
      </c>
      <c r="J65" s="25">
        <f>Platzierung!T21</f>
        <v>0</v>
      </c>
      <c r="K65" s="27"/>
      <c r="L65" s="28" t="s">
        <v>0</v>
      </c>
      <c r="M65" s="27"/>
      <c r="N65" s="27"/>
      <c r="O65" s="28" t="s">
        <v>0</v>
      </c>
      <c r="P65" s="27"/>
      <c r="Q65" s="27"/>
      <c r="R65" s="28" t="s">
        <v>0</v>
      </c>
      <c r="S65" s="27"/>
      <c r="T65" s="45"/>
      <c r="U65" s="45">
        <f t="shared" si="24"/>
        <v>0</v>
      </c>
      <c r="V65" s="28" t="s">
        <v>0</v>
      </c>
      <c r="W65" s="45">
        <f t="shared" si="25"/>
        <v>0</v>
      </c>
      <c r="X65" s="45"/>
      <c r="Y65" s="45">
        <f t="shared" si="26"/>
        <v>0</v>
      </c>
      <c r="Z65" s="28" t="s">
        <v>0</v>
      </c>
      <c r="AA65" s="45">
        <f t="shared" si="27"/>
        <v>0</v>
      </c>
      <c r="AB65" s="45"/>
      <c r="AC65" s="132"/>
      <c r="AD65" s="45">
        <f t="shared" si="28"/>
        <v>0</v>
      </c>
      <c r="AE65" s="28" t="s">
        <v>0</v>
      </c>
      <c r="AF65" s="45">
        <f t="shared" si="29"/>
        <v>0</v>
      </c>
    </row>
    <row r="66" spans="1:32" x14ac:dyDescent="0.2">
      <c r="A66" s="7"/>
      <c r="B66" s="258">
        <f>I46</f>
        <v>0</v>
      </c>
      <c r="C66" s="319">
        <f>C65</f>
        <v>0.19444444444444442</v>
      </c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1"/>
    </row>
    <row r="67" spans="1:32" x14ac:dyDescent="0.2">
      <c r="A67" s="6"/>
      <c r="B67" s="260"/>
      <c r="T67" s="42"/>
      <c r="U67" s="42"/>
      <c r="V67" s="42"/>
      <c r="W67" s="42"/>
      <c r="AC67" s="134"/>
    </row>
    <row r="68" spans="1:32" x14ac:dyDescent="0.2">
      <c r="T68" s="42"/>
      <c r="U68" s="42"/>
      <c r="V68" s="42"/>
      <c r="W68" s="42"/>
      <c r="AC68" s="4"/>
      <c r="AD68" s="5"/>
      <c r="AE68" s="5"/>
      <c r="AF68" s="5"/>
    </row>
  </sheetData>
  <sheetProtection selectLockedCells="1"/>
  <mergeCells count="31">
    <mergeCell ref="AD6:AF6"/>
    <mergeCell ref="Y6:AA6"/>
    <mergeCell ref="C16:AF16"/>
    <mergeCell ref="AD28:AF28"/>
    <mergeCell ref="Q6:S6"/>
    <mergeCell ref="C10:AF10"/>
    <mergeCell ref="Y28:AA28"/>
    <mergeCell ref="C66:AF66"/>
    <mergeCell ref="C52:AF52"/>
    <mergeCell ref="C56:AF56"/>
    <mergeCell ref="C20:AF20"/>
    <mergeCell ref="C24:AF24"/>
    <mergeCell ref="Q28:S28"/>
    <mergeCell ref="U48:W48"/>
    <mergeCell ref="Y48:AA48"/>
    <mergeCell ref="AD48:AF48"/>
    <mergeCell ref="C40:AF40"/>
    <mergeCell ref="C36:AF36"/>
    <mergeCell ref="C62:AF62"/>
    <mergeCell ref="K48:M48"/>
    <mergeCell ref="N48:P48"/>
    <mergeCell ref="Q48:S48"/>
    <mergeCell ref="F1:V1"/>
    <mergeCell ref="K28:M28"/>
    <mergeCell ref="N28:P28"/>
    <mergeCell ref="U28:W28"/>
    <mergeCell ref="F2:V2"/>
    <mergeCell ref="F3:V3"/>
    <mergeCell ref="K6:M6"/>
    <mergeCell ref="N6:P6"/>
    <mergeCell ref="U6:W6"/>
  </mergeCells>
  <phoneticPr fontId="0" type="noConversion"/>
  <pageMargins left="0.98425196850393704" right="0.39370078740157483" top="0.78740157480314965" bottom="0.39370078740157483" header="0.51181102362204722" footer="0.51181102362204722"/>
  <pageSetup paperSize="9" scale="79" fitToHeight="0" orientation="landscape" horizontalDpi="300" verticalDpi="300" r:id="rId1"/>
  <headerFooter alignWithMargins="0"/>
  <rowBreaks count="2" manualBreakCount="2">
    <brk id="25" min="2" max="31" man="1"/>
    <brk id="45" min="2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37"/>
  <sheetViews>
    <sheetView topLeftCell="A19" workbookViewId="0">
      <selection activeCell="A7" sqref="A7:J7"/>
    </sheetView>
  </sheetViews>
  <sheetFormatPr baseColWidth="10" defaultRowHeight="14.25" x14ac:dyDescent="0.2"/>
  <cols>
    <col min="1" max="1" width="4" style="154" customWidth="1"/>
    <col min="2" max="2" width="2.5703125" style="154" customWidth="1"/>
    <col min="3" max="3" width="12.42578125" style="154" customWidth="1"/>
    <col min="4" max="4" width="10.42578125" style="154" bestFit="1" customWidth="1"/>
    <col min="5" max="8" width="8.7109375" style="154" customWidth="1"/>
    <col min="9" max="10" width="9.28515625" style="154" bestFit="1" customWidth="1"/>
    <col min="11" max="11" width="16" style="154" customWidth="1"/>
    <col min="12" max="16384" width="11.42578125" style="154"/>
  </cols>
  <sheetData>
    <row r="1" spans="1:11" s="153" customFormat="1" ht="23.25" x14ac:dyDescent="0.35">
      <c r="D1" s="352" t="s">
        <v>91</v>
      </c>
      <c r="E1" s="294"/>
      <c r="F1" s="294"/>
      <c r="G1" s="294"/>
      <c r="H1" s="294"/>
      <c r="I1" s="294"/>
      <c r="J1" s="294"/>
    </row>
    <row r="2" spans="1:11" s="153" customFormat="1" ht="23.25" x14ac:dyDescent="0.35">
      <c r="D2" s="331">
        <f>Platzierung!U6</f>
        <v>0</v>
      </c>
      <c r="E2" s="331"/>
      <c r="F2" s="331"/>
      <c r="G2" s="331"/>
      <c r="H2" s="331"/>
      <c r="I2" s="331"/>
      <c r="J2" s="331"/>
    </row>
    <row r="3" spans="1:11" s="153" customFormat="1" ht="23.25" x14ac:dyDescent="0.35"/>
    <row r="4" spans="1:11" s="153" customFormat="1" ht="23.25" x14ac:dyDescent="0.35">
      <c r="A4" s="342" t="s">
        <v>92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1" ht="15" thickBot="1" x14ac:dyDescent="0.25"/>
    <row r="6" spans="1:11" s="158" customFormat="1" ht="15" x14ac:dyDescent="0.25">
      <c r="A6" s="155" t="s">
        <v>111</v>
      </c>
      <c r="B6" s="156"/>
      <c r="C6" s="156"/>
      <c r="D6" s="156"/>
      <c r="E6" s="156"/>
      <c r="F6" s="156"/>
      <c r="G6" s="156"/>
      <c r="H6" s="156"/>
      <c r="I6" s="156"/>
      <c r="J6" s="156"/>
      <c r="K6" s="157"/>
    </row>
    <row r="7" spans="1:11" ht="15.75" thickBot="1" x14ac:dyDescent="0.3">
      <c r="A7" s="344"/>
      <c r="B7" s="345"/>
      <c r="C7" s="345"/>
      <c r="D7" s="345"/>
      <c r="E7" s="345"/>
      <c r="F7" s="345"/>
      <c r="G7" s="345"/>
      <c r="H7" s="345"/>
      <c r="I7" s="345"/>
      <c r="J7" s="345"/>
      <c r="K7" s="152"/>
    </row>
    <row r="8" spans="1:11" ht="15" x14ac:dyDescent="0.25">
      <c r="A8" s="159"/>
      <c r="B8" s="160"/>
      <c r="C8" s="161"/>
      <c r="D8" s="162"/>
      <c r="E8" s="353" t="s">
        <v>93</v>
      </c>
      <c r="F8" s="354"/>
      <c r="G8" s="354"/>
      <c r="H8" s="355"/>
      <c r="I8" s="353" t="s">
        <v>94</v>
      </c>
      <c r="J8" s="364"/>
      <c r="K8" s="163"/>
    </row>
    <row r="9" spans="1:11" ht="23.25" customHeight="1" x14ac:dyDescent="0.25">
      <c r="A9" s="164"/>
      <c r="B9" s="165"/>
      <c r="C9" s="166"/>
      <c r="D9" s="167" t="s">
        <v>95</v>
      </c>
      <c r="E9" s="334" t="s">
        <v>96</v>
      </c>
      <c r="F9" s="335"/>
      <c r="G9" s="335"/>
      <c r="H9" s="336"/>
      <c r="I9" s="198">
        <f>Platzierung!U7</f>
        <v>0</v>
      </c>
      <c r="J9" s="197" t="s">
        <v>118</v>
      </c>
      <c r="K9" s="168"/>
    </row>
    <row r="10" spans="1:11" ht="15" customHeight="1" x14ac:dyDescent="0.25">
      <c r="A10" s="169"/>
      <c r="B10" s="170"/>
      <c r="C10" s="171"/>
      <c r="D10" s="172"/>
      <c r="E10" s="173"/>
      <c r="F10" s="174" t="s">
        <v>97</v>
      </c>
      <c r="G10" s="174"/>
      <c r="H10" s="172"/>
      <c r="I10" s="175"/>
      <c r="J10" s="172"/>
      <c r="K10" s="176"/>
    </row>
    <row r="11" spans="1:11" ht="15" customHeight="1" x14ac:dyDescent="0.25">
      <c r="A11" s="169"/>
      <c r="B11" s="170"/>
      <c r="C11" s="171"/>
      <c r="D11" s="172" t="s">
        <v>98</v>
      </c>
      <c r="E11" s="173" t="s">
        <v>99</v>
      </c>
      <c r="F11" s="174" t="s">
        <v>99</v>
      </c>
      <c r="G11" s="174" t="s">
        <v>100</v>
      </c>
      <c r="H11" s="177" t="s">
        <v>101</v>
      </c>
      <c r="I11" s="173"/>
      <c r="J11" s="172" t="s">
        <v>97</v>
      </c>
      <c r="K11" s="176" t="s">
        <v>102</v>
      </c>
    </row>
    <row r="12" spans="1:11" ht="15" customHeight="1" x14ac:dyDescent="0.2">
      <c r="A12" s="361" t="s">
        <v>103</v>
      </c>
      <c r="B12" s="362"/>
      <c r="C12" s="363"/>
      <c r="D12" s="178" t="s">
        <v>104</v>
      </c>
      <c r="E12" s="179" t="s">
        <v>105</v>
      </c>
      <c r="F12" s="180" t="s">
        <v>105</v>
      </c>
      <c r="G12" s="181" t="s">
        <v>105</v>
      </c>
      <c r="H12" s="182" t="s">
        <v>105</v>
      </c>
      <c r="I12" s="179" t="s">
        <v>106</v>
      </c>
      <c r="J12" s="178" t="s">
        <v>106</v>
      </c>
      <c r="K12" s="183"/>
    </row>
    <row r="13" spans="1:11" ht="22.5" customHeight="1" x14ac:dyDescent="0.25">
      <c r="A13" s="325">
        <f>Platzierung!T16</f>
        <v>0</v>
      </c>
      <c r="B13" s="326"/>
      <c r="C13" s="327"/>
      <c r="D13" s="223"/>
      <c r="E13" s="224"/>
      <c r="F13" s="225"/>
      <c r="G13" s="225"/>
      <c r="H13" s="226"/>
      <c r="I13" s="224"/>
      <c r="J13" s="226"/>
      <c r="K13" s="227"/>
    </row>
    <row r="14" spans="1:11" ht="22.5" customHeight="1" x14ac:dyDescent="0.25">
      <c r="A14" s="328">
        <f>Platzierung!T17</f>
        <v>0</v>
      </c>
      <c r="B14" s="329"/>
      <c r="C14" s="330"/>
      <c r="D14" s="223"/>
      <c r="E14" s="224"/>
      <c r="F14" s="225"/>
      <c r="G14" s="225"/>
      <c r="H14" s="226"/>
      <c r="I14" s="224"/>
      <c r="J14" s="226"/>
      <c r="K14" s="227"/>
    </row>
    <row r="15" spans="1:11" ht="22.5" customHeight="1" x14ac:dyDescent="0.25">
      <c r="A15" s="325">
        <f>Platzierung!T18</f>
        <v>0</v>
      </c>
      <c r="B15" s="326"/>
      <c r="C15" s="327"/>
      <c r="D15" s="223"/>
      <c r="E15" s="224"/>
      <c r="F15" s="225"/>
      <c r="G15" s="225"/>
      <c r="H15" s="226"/>
      <c r="I15" s="224"/>
      <c r="J15" s="226"/>
      <c r="K15" s="227"/>
    </row>
    <row r="16" spans="1:11" ht="22.5" customHeight="1" x14ac:dyDescent="0.25">
      <c r="A16" s="328">
        <f>Platzierung!T19</f>
        <v>0</v>
      </c>
      <c r="B16" s="329"/>
      <c r="C16" s="330"/>
      <c r="D16" s="223"/>
      <c r="E16" s="224"/>
      <c r="F16" s="225"/>
      <c r="G16" s="225"/>
      <c r="H16" s="226"/>
      <c r="I16" s="224"/>
      <c r="J16" s="226"/>
      <c r="K16" s="227"/>
    </row>
    <row r="17" spans="1:11" ht="22.5" customHeight="1" x14ac:dyDescent="0.25">
      <c r="A17" s="325">
        <f>Platzierung!T20</f>
        <v>0</v>
      </c>
      <c r="B17" s="326"/>
      <c r="C17" s="327"/>
      <c r="D17" s="223"/>
      <c r="E17" s="224"/>
      <c r="F17" s="225"/>
      <c r="G17" s="225"/>
      <c r="H17" s="226"/>
      <c r="I17" s="224"/>
      <c r="J17" s="226"/>
      <c r="K17" s="227"/>
    </row>
    <row r="18" spans="1:11" ht="22.5" customHeight="1" x14ac:dyDescent="0.25">
      <c r="A18" s="328">
        <f>Platzierung!T21</f>
        <v>0</v>
      </c>
      <c r="B18" s="329"/>
      <c r="C18" s="330"/>
      <c r="D18" s="223"/>
      <c r="E18" s="224"/>
      <c r="F18" s="225"/>
      <c r="G18" s="225"/>
      <c r="H18" s="226"/>
      <c r="I18" s="224"/>
      <c r="J18" s="226"/>
      <c r="K18" s="227"/>
    </row>
    <row r="19" spans="1:11" ht="22.5" customHeight="1" x14ac:dyDescent="0.25">
      <c r="A19" s="325">
        <f>Platzierung!T22</f>
        <v>0</v>
      </c>
      <c r="B19" s="326"/>
      <c r="C19" s="327"/>
      <c r="D19" s="223"/>
      <c r="E19" s="224"/>
      <c r="F19" s="225"/>
      <c r="G19" s="225"/>
      <c r="H19" s="226"/>
      <c r="I19" s="224"/>
      <c r="J19" s="226"/>
      <c r="K19" s="227"/>
    </row>
    <row r="20" spans="1:11" ht="22.5" customHeight="1" x14ac:dyDescent="0.25">
      <c r="A20" s="328"/>
      <c r="B20" s="329"/>
      <c r="C20" s="330"/>
      <c r="D20" s="223"/>
      <c r="E20" s="224"/>
      <c r="F20" s="225"/>
      <c r="G20" s="225"/>
      <c r="H20" s="226"/>
      <c r="I20" s="224"/>
      <c r="J20" s="226"/>
      <c r="K20" s="227"/>
    </row>
    <row r="21" spans="1:11" ht="22.5" customHeight="1" x14ac:dyDescent="0.25">
      <c r="A21" s="328"/>
      <c r="B21" s="329"/>
      <c r="C21" s="330"/>
      <c r="D21" s="223"/>
      <c r="E21" s="224"/>
      <c r="F21" s="225"/>
      <c r="G21" s="225"/>
      <c r="H21" s="226"/>
      <c r="I21" s="224"/>
      <c r="J21" s="226"/>
      <c r="K21" s="227"/>
    </row>
    <row r="22" spans="1:11" ht="22.5" customHeight="1" thickBot="1" x14ac:dyDescent="0.3">
      <c r="A22" s="346"/>
      <c r="B22" s="347"/>
      <c r="C22" s="348"/>
      <c r="D22" s="228"/>
      <c r="E22" s="229"/>
      <c r="F22" s="230"/>
      <c r="G22" s="230"/>
      <c r="H22" s="231"/>
      <c r="I22" s="229"/>
      <c r="J22" s="231"/>
      <c r="K22" s="232"/>
    </row>
    <row r="23" spans="1:11" ht="15" x14ac:dyDescent="0.2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s="184" customFormat="1" ht="15" x14ac:dyDescent="0.25">
      <c r="A24" s="337" t="s">
        <v>113</v>
      </c>
      <c r="B24" s="338"/>
      <c r="C24" s="338"/>
      <c r="D24" s="338"/>
      <c r="E24" s="151"/>
      <c r="F24" s="151"/>
      <c r="G24" s="151"/>
      <c r="H24" s="151"/>
      <c r="I24" s="151"/>
      <c r="J24" s="151"/>
      <c r="K24" s="152"/>
    </row>
    <row r="25" spans="1:11" s="184" customFormat="1" ht="15" x14ac:dyDescent="0.25">
      <c r="A25" s="150"/>
      <c r="B25" s="185" t="s">
        <v>107</v>
      </c>
      <c r="C25" s="338" t="s">
        <v>119</v>
      </c>
      <c r="D25" s="338"/>
      <c r="E25" s="338"/>
      <c r="F25" s="338"/>
      <c r="G25" s="338"/>
      <c r="H25" s="359"/>
      <c r="I25" s="359"/>
      <c r="J25" s="359"/>
      <c r="K25" s="360"/>
    </row>
    <row r="26" spans="1:11" s="184" customFormat="1" ht="15" x14ac:dyDescent="0.25">
      <c r="A26" s="150"/>
      <c r="B26" s="185" t="s">
        <v>107</v>
      </c>
      <c r="C26" s="338" t="s">
        <v>120</v>
      </c>
      <c r="D26" s="338"/>
      <c r="E26" s="338"/>
      <c r="F26" s="338"/>
      <c r="G26" s="338"/>
      <c r="H26" s="338"/>
      <c r="I26" s="338"/>
      <c r="J26" s="338"/>
      <c r="K26" s="339"/>
    </row>
    <row r="27" spans="1:11" s="184" customFormat="1" ht="15" x14ac:dyDescent="0.25">
      <c r="A27" s="150"/>
      <c r="B27" s="185" t="s">
        <v>107</v>
      </c>
      <c r="C27" s="338" t="s">
        <v>108</v>
      </c>
      <c r="D27" s="338"/>
      <c r="E27" s="338"/>
      <c r="F27" s="338"/>
      <c r="G27" s="338"/>
      <c r="H27" s="338"/>
      <c r="I27" s="338"/>
      <c r="J27" s="338"/>
      <c r="K27" s="339"/>
    </row>
    <row r="28" spans="1:11" s="184" customFormat="1" ht="15" x14ac:dyDescent="0.25">
      <c r="A28" s="337" t="s">
        <v>114</v>
      </c>
      <c r="B28" s="338"/>
      <c r="C28" s="338"/>
      <c r="D28" s="338"/>
      <c r="E28" s="151"/>
      <c r="F28" s="151"/>
      <c r="G28" s="151"/>
      <c r="H28" s="151"/>
      <c r="I28" s="151"/>
      <c r="J28" s="151"/>
      <c r="K28" s="152"/>
    </row>
    <row r="29" spans="1:11" s="189" customFormat="1" ht="15" x14ac:dyDescent="0.25">
      <c r="A29" s="186" t="s">
        <v>116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8"/>
    </row>
    <row r="30" spans="1:11" s="189" customFormat="1" ht="15" x14ac:dyDescent="0.25">
      <c r="A30" s="186" t="s">
        <v>115</v>
      </c>
      <c r="B30" s="187"/>
      <c r="C30" s="187"/>
      <c r="D30" s="190"/>
      <c r="E30" s="190"/>
      <c r="F30" s="190"/>
      <c r="G30" s="190"/>
      <c r="H30" s="190"/>
      <c r="I30" s="190"/>
      <c r="J30" s="190"/>
      <c r="K30" s="191"/>
    </row>
    <row r="31" spans="1:11" s="184" customFormat="1" ht="15" x14ac:dyDescent="0.25">
      <c r="A31" s="356" t="s">
        <v>109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 s="184" customFormat="1" ht="15" x14ac:dyDescent="0.25">
      <c r="A32" s="337" t="s">
        <v>112</v>
      </c>
      <c r="B32" s="338"/>
      <c r="C32" s="338"/>
      <c r="D32" s="338"/>
      <c r="E32" s="193"/>
      <c r="F32" s="193"/>
      <c r="G32" s="193"/>
      <c r="H32" s="193"/>
      <c r="I32" s="193"/>
      <c r="J32" s="193"/>
      <c r="K32" s="194"/>
    </row>
    <row r="33" spans="1:11" s="184" customFormat="1" ht="19.5" customHeight="1" x14ac:dyDescent="0.25">
      <c r="A33" s="192"/>
      <c r="B33" s="340" t="s">
        <v>110</v>
      </c>
      <c r="C33" s="341"/>
      <c r="D33" s="341"/>
      <c r="E33" s="341"/>
      <c r="F33" s="341"/>
      <c r="G33" s="341"/>
      <c r="H33" s="341"/>
      <c r="I33" s="341"/>
      <c r="J33" s="341"/>
      <c r="K33" s="194"/>
    </row>
    <row r="34" spans="1:11" s="184" customFormat="1" ht="19.5" customHeight="1" x14ac:dyDescent="0.25">
      <c r="A34" s="192"/>
      <c r="B34" s="340" t="s">
        <v>110</v>
      </c>
      <c r="C34" s="341"/>
      <c r="D34" s="341"/>
      <c r="E34" s="341"/>
      <c r="F34" s="341"/>
      <c r="G34" s="341"/>
      <c r="H34" s="341"/>
      <c r="I34" s="341"/>
      <c r="J34" s="341"/>
      <c r="K34" s="194"/>
    </row>
    <row r="35" spans="1:11" s="184" customFormat="1" ht="19.5" customHeight="1" x14ac:dyDescent="0.25">
      <c r="A35" s="192"/>
      <c r="B35" s="340" t="s">
        <v>110</v>
      </c>
      <c r="C35" s="341"/>
      <c r="D35" s="341"/>
      <c r="E35" s="341"/>
      <c r="F35" s="341"/>
      <c r="G35" s="341"/>
      <c r="H35" s="341"/>
      <c r="I35" s="341"/>
      <c r="J35" s="341"/>
      <c r="K35" s="194"/>
    </row>
    <row r="36" spans="1:11" s="184" customFormat="1" ht="19.5" customHeight="1" x14ac:dyDescent="0.25">
      <c r="A36" s="192"/>
      <c r="B36" s="340" t="s">
        <v>110</v>
      </c>
      <c r="C36" s="341"/>
      <c r="D36" s="341"/>
      <c r="E36" s="341"/>
      <c r="F36" s="341"/>
      <c r="G36" s="341"/>
      <c r="H36" s="341"/>
      <c r="I36" s="341"/>
      <c r="J36" s="341"/>
      <c r="K36" s="194"/>
    </row>
    <row r="37" spans="1:11" ht="15.75" thickBot="1" x14ac:dyDescent="0.3">
      <c r="A37" s="332"/>
      <c r="B37" s="333"/>
      <c r="C37" s="333"/>
      <c r="D37" s="195"/>
      <c r="E37" s="195"/>
      <c r="F37" s="195"/>
      <c r="G37" s="195"/>
      <c r="H37" s="195"/>
      <c r="I37" s="195"/>
      <c r="J37" s="195"/>
      <c r="K37" s="196"/>
    </row>
  </sheetData>
  <mergeCells count="31">
    <mergeCell ref="D1:J1"/>
    <mergeCell ref="E8:H8"/>
    <mergeCell ref="A31:K31"/>
    <mergeCell ref="C25:K25"/>
    <mergeCell ref="A12:C12"/>
    <mergeCell ref="A18:C18"/>
    <mergeCell ref="I8:J8"/>
    <mergeCell ref="A14:C14"/>
    <mergeCell ref="A13:C13"/>
    <mergeCell ref="A15:C15"/>
    <mergeCell ref="A37:C37"/>
    <mergeCell ref="E9:H9"/>
    <mergeCell ref="A28:D28"/>
    <mergeCell ref="A24:D24"/>
    <mergeCell ref="C26:K26"/>
    <mergeCell ref="C27:K27"/>
    <mergeCell ref="B35:J35"/>
    <mergeCell ref="B36:J36"/>
    <mergeCell ref="A32:D32"/>
    <mergeCell ref="A20:C20"/>
    <mergeCell ref="B34:J34"/>
    <mergeCell ref="A22:C22"/>
    <mergeCell ref="B33:J33"/>
    <mergeCell ref="A23:K23"/>
    <mergeCell ref="A19:C19"/>
    <mergeCell ref="A16:C16"/>
    <mergeCell ref="A21:C21"/>
    <mergeCell ref="A17:C17"/>
    <mergeCell ref="D2:J2"/>
    <mergeCell ref="A4:K4"/>
    <mergeCell ref="A7:J7"/>
  </mergeCells>
  <phoneticPr fontId="0" type="noConversion"/>
  <pageMargins left="0.39370078740157483" right="0" top="0.39370078740157483" bottom="0.59055118110236227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9">
    <pageSetUpPr fitToPage="1"/>
  </sheetPr>
  <dimension ref="A1:AY599"/>
  <sheetViews>
    <sheetView zoomScale="80" zoomScaleNormal="80" zoomScaleSheetLayoutView="75" workbookViewId="0">
      <selection activeCell="AW25" sqref="AW25"/>
    </sheetView>
  </sheetViews>
  <sheetFormatPr baseColWidth="10" defaultRowHeight="12.75" x14ac:dyDescent="0.2"/>
  <cols>
    <col min="1" max="1" width="3.140625" style="273" customWidth="1"/>
    <col min="2" max="2" width="0.28515625" customWidth="1"/>
    <col min="3" max="11" width="2.42578125" customWidth="1"/>
    <col min="12" max="12" width="2.28515625" customWidth="1"/>
    <col min="13" max="43" width="2.42578125" customWidth="1"/>
    <col min="44" max="44" width="2.5703125" customWidth="1"/>
    <col min="45" max="46" width="4.28515625" style="272" customWidth="1"/>
    <col min="47" max="51" width="2.28515625" customWidth="1"/>
  </cols>
  <sheetData>
    <row r="1" spans="2:51" ht="15.75" customHeight="1" thickBot="1" x14ac:dyDescent="0.25">
      <c r="AA1" s="67"/>
      <c r="AB1" s="67"/>
      <c r="AC1" s="67"/>
      <c r="AD1" s="67"/>
      <c r="AE1" s="67"/>
      <c r="AF1" s="67"/>
      <c r="AG1" s="67"/>
      <c r="AH1" s="67"/>
    </row>
    <row r="2" spans="2:51" ht="17.25" customHeight="1" x14ac:dyDescent="0.25">
      <c r="B2" s="68"/>
      <c r="C2" s="68"/>
      <c r="D2" s="69" t="s">
        <v>44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 t="s">
        <v>89</v>
      </c>
      <c r="Z2" s="70"/>
      <c r="AA2" s="70"/>
      <c r="AB2" s="70"/>
      <c r="AC2" s="70"/>
      <c r="AD2" s="70"/>
      <c r="AE2" s="70"/>
      <c r="AF2" s="70"/>
      <c r="AG2" s="70"/>
      <c r="AH2" s="441" t="s">
        <v>45</v>
      </c>
      <c r="AI2" s="442"/>
      <c r="AJ2" s="442"/>
      <c r="AK2" s="442"/>
      <c r="AL2" s="442"/>
      <c r="AM2" s="443">
        <f>IF(($AU$9+0)&gt;$AX$9,"",VLOOKUP($AU$9+0,Spielplan,3,0))</f>
        <v>0</v>
      </c>
      <c r="AN2" s="443"/>
      <c r="AO2" s="443"/>
      <c r="AP2" s="443"/>
      <c r="AQ2" s="444"/>
    </row>
    <row r="3" spans="2:51" ht="0.75" customHeight="1" thickBot="1" x14ac:dyDescent="0.25">
      <c r="B3" s="72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  <c r="AI3" s="67"/>
      <c r="AJ3" s="67"/>
      <c r="AK3" s="67"/>
      <c r="AL3" s="67"/>
      <c r="AM3" s="75"/>
      <c r="AN3" s="75"/>
      <c r="AO3" s="75"/>
      <c r="AP3" s="75"/>
      <c r="AQ3" s="76"/>
    </row>
    <row r="4" spans="2:51" ht="15" x14ac:dyDescent="0.25">
      <c r="B4" s="68"/>
      <c r="C4" s="77"/>
      <c r="D4" s="68"/>
      <c r="E4" s="78" t="s">
        <v>6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9"/>
      <c r="S4" s="439" t="s">
        <v>46</v>
      </c>
      <c r="T4" s="440"/>
      <c r="U4" s="440"/>
      <c r="V4" s="440"/>
      <c r="W4" s="440"/>
      <c r="X4" s="440"/>
      <c r="Y4" s="366" t="str">
        <f>IF(($AU$9+0)&gt;$AX$9,"","SHTV")</f>
        <v>SHTV</v>
      </c>
      <c r="Z4" s="366"/>
      <c r="AA4" s="366"/>
      <c r="AB4" s="366"/>
      <c r="AC4" s="366"/>
      <c r="AD4" s="366"/>
      <c r="AE4" s="366"/>
      <c r="AF4" s="366"/>
      <c r="AG4" s="366"/>
      <c r="AH4" s="430" t="s">
        <v>47</v>
      </c>
      <c r="AI4" s="431"/>
      <c r="AJ4" s="431"/>
      <c r="AK4" s="431"/>
      <c r="AL4" s="431"/>
      <c r="AM4" s="434">
        <f>IF(($AU$9+0)&gt;$AX$9,"",VLOOKUP($AU$9+0,Spielplan,4,0))</f>
        <v>1</v>
      </c>
      <c r="AN4" s="435"/>
      <c r="AO4" s="435"/>
      <c r="AP4" s="435"/>
      <c r="AQ4" s="436"/>
      <c r="AU4" t="s">
        <v>163</v>
      </c>
    </row>
    <row r="5" spans="2:51" ht="9.9499999999999993" customHeight="1" x14ac:dyDescent="0.2">
      <c r="B5" s="74"/>
      <c r="C5" s="80"/>
      <c r="D5" s="74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81"/>
      <c r="S5" s="423"/>
      <c r="T5" s="406"/>
      <c r="U5" s="406"/>
      <c r="V5" s="406"/>
      <c r="W5" s="406"/>
      <c r="X5" s="406"/>
      <c r="Y5" s="425"/>
      <c r="Z5" s="425"/>
      <c r="AA5" s="425"/>
      <c r="AB5" s="425"/>
      <c r="AC5" s="425"/>
      <c r="AD5" s="425"/>
      <c r="AE5" s="425"/>
      <c r="AF5" s="425"/>
      <c r="AG5" s="425"/>
      <c r="AH5" s="432"/>
      <c r="AI5" s="433"/>
      <c r="AJ5" s="433"/>
      <c r="AK5" s="433"/>
      <c r="AL5" s="433"/>
      <c r="AM5" s="437"/>
      <c r="AN5" s="437"/>
      <c r="AO5" s="437"/>
      <c r="AP5" s="437"/>
      <c r="AQ5" s="438"/>
    </row>
    <row r="6" spans="2:51" ht="13.15" customHeight="1" x14ac:dyDescent="0.2">
      <c r="B6" s="74"/>
      <c r="C6" s="80"/>
      <c r="D6" s="74"/>
      <c r="E6" s="67" t="s">
        <v>48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81"/>
      <c r="S6" s="422" t="s">
        <v>49</v>
      </c>
      <c r="T6" s="406"/>
      <c r="U6" s="406"/>
      <c r="V6" s="406"/>
      <c r="W6" s="406"/>
      <c r="X6" s="406"/>
      <c r="Y6" s="425">
        <f>IF(($AU$9+0)&gt;$AX$9,"",Platzierung!$U$3)</f>
        <v>0</v>
      </c>
      <c r="Z6" s="425"/>
      <c r="AA6" s="425"/>
      <c r="AB6" s="425"/>
      <c r="AC6" s="425"/>
      <c r="AD6" s="425"/>
      <c r="AE6" s="425"/>
      <c r="AF6" s="425"/>
      <c r="AG6" s="425"/>
      <c r="AH6" s="430" t="s">
        <v>50</v>
      </c>
      <c r="AI6" s="431"/>
      <c r="AJ6" s="431"/>
      <c r="AK6" s="431"/>
      <c r="AL6" s="431"/>
      <c r="AM6" s="434">
        <f>IF(($AU$9+0)&gt;$AX$9,"",VLOOKUP($AU$9+0,Spielplan,6,0))</f>
        <v>1</v>
      </c>
      <c r="AN6" s="435"/>
      <c r="AO6" s="435"/>
      <c r="AP6" s="435"/>
      <c r="AQ6" s="436"/>
      <c r="AU6" s="67" t="s">
        <v>164</v>
      </c>
      <c r="AV6" s="67"/>
      <c r="AW6" s="67"/>
      <c r="AX6" s="67"/>
      <c r="AY6" s="67"/>
    </row>
    <row r="7" spans="2:51" ht="9.9499999999999993" customHeight="1" x14ac:dyDescent="0.2">
      <c r="B7" s="74"/>
      <c r="C7" s="80"/>
      <c r="D7" s="74"/>
      <c r="E7" s="67"/>
      <c r="F7" s="67"/>
      <c r="G7" s="67"/>
      <c r="H7" s="67"/>
      <c r="I7" s="67"/>
      <c r="J7" s="82" t="s">
        <v>51</v>
      </c>
      <c r="K7" s="67"/>
      <c r="L7" s="67"/>
      <c r="M7" s="67"/>
      <c r="N7" s="67"/>
      <c r="O7" s="67"/>
      <c r="P7" s="67"/>
      <c r="Q7" s="67"/>
      <c r="R7" s="81"/>
      <c r="S7" s="423"/>
      <c r="T7" s="406"/>
      <c r="U7" s="406"/>
      <c r="V7" s="406"/>
      <c r="W7" s="406"/>
      <c r="X7" s="406"/>
      <c r="Y7" s="425"/>
      <c r="Z7" s="425"/>
      <c r="AA7" s="425"/>
      <c r="AB7" s="425"/>
      <c r="AC7" s="425"/>
      <c r="AD7" s="425"/>
      <c r="AE7" s="425"/>
      <c r="AF7" s="425"/>
      <c r="AG7" s="425"/>
      <c r="AH7" s="432"/>
      <c r="AI7" s="433"/>
      <c r="AJ7" s="433"/>
      <c r="AK7" s="433"/>
      <c r="AL7" s="433"/>
      <c r="AM7" s="437"/>
      <c r="AN7" s="437"/>
      <c r="AO7" s="437"/>
      <c r="AP7" s="437"/>
      <c r="AQ7" s="438"/>
    </row>
    <row r="8" spans="2:51" ht="15.75" customHeight="1" thickBot="1" x14ac:dyDescent="0.25">
      <c r="B8" s="74"/>
      <c r="C8" s="80"/>
      <c r="D8" s="418">
        <f>IF(($AU$9+0)&gt;$AX$9,"",VLOOKUP($AU$9+0,Spielplan,10,0))</f>
        <v>0</v>
      </c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20"/>
      <c r="S8" s="422" t="s">
        <v>52</v>
      </c>
      <c r="T8" s="406"/>
      <c r="U8" s="406"/>
      <c r="V8" s="406"/>
      <c r="W8" s="406"/>
      <c r="X8" s="406"/>
      <c r="Y8" s="424">
        <f>IF(($AU$9+0)&gt;$AX$9,"",VLOOKUP($AU$9+0,Spielplan,2,0))</f>
        <v>0</v>
      </c>
      <c r="Z8" s="425"/>
      <c r="AA8" s="425"/>
      <c r="AB8" s="425"/>
      <c r="AC8" s="425"/>
      <c r="AD8" s="425"/>
      <c r="AE8" s="425"/>
      <c r="AF8" s="425"/>
      <c r="AG8" s="425"/>
      <c r="AH8" s="405" t="s">
        <v>53</v>
      </c>
      <c r="AI8" s="406"/>
      <c r="AJ8" s="406"/>
      <c r="AK8" s="406"/>
      <c r="AL8" s="406"/>
      <c r="AM8" s="400">
        <f>IF(($AU$9+0)&gt;$AX$9,"",VLOOKUP($AU$9+0,Spielplan,5,0))</f>
        <v>1</v>
      </c>
      <c r="AN8" s="401"/>
      <c r="AO8" s="401"/>
      <c r="AP8" s="401"/>
      <c r="AQ8" s="402"/>
      <c r="AU8" s="445" t="s">
        <v>165</v>
      </c>
      <c r="AV8" s="445"/>
      <c r="AW8" s="271"/>
      <c r="AX8" s="445" t="s">
        <v>166</v>
      </c>
      <c r="AY8" s="445"/>
    </row>
    <row r="9" spans="2:51" ht="11.1" customHeight="1" thickBot="1" x14ac:dyDescent="0.25">
      <c r="B9" s="74"/>
      <c r="C9" s="80"/>
      <c r="D9" s="421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20"/>
      <c r="S9" s="423"/>
      <c r="T9" s="406"/>
      <c r="U9" s="406"/>
      <c r="V9" s="406"/>
      <c r="W9" s="406"/>
      <c r="X9" s="406"/>
      <c r="Y9" s="425"/>
      <c r="Z9" s="425"/>
      <c r="AA9" s="425"/>
      <c r="AB9" s="425"/>
      <c r="AC9" s="425"/>
      <c r="AD9" s="425"/>
      <c r="AE9" s="425"/>
      <c r="AF9" s="425"/>
      <c r="AG9" s="425"/>
      <c r="AH9" s="407"/>
      <c r="AI9" s="408"/>
      <c r="AJ9" s="408"/>
      <c r="AK9" s="408"/>
      <c r="AL9" s="408"/>
      <c r="AM9" s="403"/>
      <c r="AN9" s="403"/>
      <c r="AO9" s="403"/>
      <c r="AP9" s="403"/>
      <c r="AQ9" s="404"/>
      <c r="AU9" s="446">
        <v>1</v>
      </c>
      <c r="AV9" s="447"/>
      <c r="AW9" s="450" t="s">
        <v>162</v>
      </c>
      <c r="AX9" s="446">
        <v>14</v>
      </c>
      <c r="AY9" s="447"/>
    </row>
    <row r="10" spans="2:51" ht="11.1" customHeight="1" thickBot="1" x14ac:dyDescent="0.25">
      <c r="B10" s="74"/>
      <c r="C10" s="80"/>
      <c r="D10" s="72"/>
      <c r="E10" s="73"/>
      <c r="F10" s="73"/>
      <c r="G10" s="73"/>
      <c r="H10" s="73"/>
      <c r="I10" s="73"/>
      <c r="J10" s="73" t="s">
        <v>54</v>
      </c>
      <c r="K10" s="73"/>
      <c r="L10" s="73"/>
      <c r="M10" s="73"/>
      <c r="N10" s="73"/>
      <c r="O10" s="67"/>
      <c r="P10" s="67"/>
      <c r="Q10" s="73"/>
      <c r="R10" s="83"/>
      <c r="S10" s="74"/>
      <c r="T10" s="67"/>
      <c r="U10" s="67"/>
      <c r="V10" s="67"/>
      <c r="W10" s="67"/>
      <c r="X10" s="67"/>
      <c r="Y10" s="409"/>
      <c r="Z10" s="409"/>
      <c r="AA10" s="409"/>
      <c r="AB10" s="409"/>
      <c r="AC10" s="409"/>
      <c r="AD10" s="409"/>
      <c r="AE10" s="409"/>
      <c r="AF10" s="410"/>
      <c r="AG10" s="411"/>
      <c r="AH10" s="84" t="s">
        <v>55</v>
      </c>
      <c r="AI10" s="67"/>
      <c r="AJ10" s="67"/>
      <c r="AK10" s="67"/>
      <c r="AL10" s="67"/>
      <c r="AM10" s="67"/>
      <c r="AN10" s="67"/>
      <c r="AO10" s="85"/>
      <c r="AP10" s="67"/>
      <c r="AQ10" s="81"/>
      <c r="AU10" s="448"/>
      <c r="AV10" s="449"/>
      <c r="AW10" s="451"/>
      <c r="AX10" s="448"/>
      <c r="AY10" s="449"/>
    </row>
    <row r="11" spans="2:51" ht="13.5" customHeight="1" thickBot="1" x14ac:dyDescent="0.3">
      <c r="B11" s="74"/>
      <c r="C11" s="80"/>
      <c r="D11" s="68"/>
      <c r="E11" s="78" t="s">
        <v>8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412" t="s">
        <v>56</v>
      </c>
      <c r="R11" s="68"/>
      <c r="S11" s="68"/>
      <c r="T11" s="78" t="s">
        <v>7</v>
      </c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9"/>
      <c r="AF11" s="415" t="s">
        <v>56</v>
      </c>
      <c r="AG11" s="74"/>
      <c r="AH11" s="86" t="s">
        <v>57</v>
      </c>
      <c r="AI11" s="73"/>
      <c r="AJ11" s="73"/>
      <c r="AK11" s="73"/>
      <c r="AL11" s="73"/>
      <c r="AM11" s="73"/>
      <c r="AN11" s="73"/>
      <c r="AO11" s="87"/>
      <c r="AP11" s="67"/>
      <c r="AQ11" s="81"/>
      <c r="AU11" s="274" t="s">
        <v>167</v>
      </c>
    </row>
    <row r="12" spans="2:51" ht="12" customHeight="1" thickBot="1" x14ac:dyDescent="0.25">
      <c r="B12" s="74"/>
      <c r="C12" s="80"/>
      <c r="D12" s="418">
        <f>IF(($AU$9+0)&gt;$AX$9,"",VLOOKUP($AU$9+0,Spielplan,7,0))</f>
        <v>0</v>
      </c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20"/>
      <c r="Q12" s="413"/>
      <c r="R12" s="74"/>
      <c r="S12" s="418">
        <f>IF(($AU$9+0)&gt;$AX$9,"",VLOOKUP($AU$9+0,Spielplan,9,0))</f>
        <v>0</v>
      </c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29"/>
      <c r="AF12" s="416"/>
      <c r="AG12" s="74"/>
      <c r="AH12" s="394" t="s">
        <v>58</v>
      </c>
      <c r="AI12" s="395"/>
      <c r="AJ12" s="395"/>
      <c r="AK12" s="395"/>
      <c r="AL12" s="395"/>
      <c r="AM12" s="396"/>
      <c r="AN12" s="88" t="s">
        <v>59</v>
      </c>
      <c r="AO12" s="89"/>
      <c r="AP12" s="89"/>
      <c r="AQ12" s="87"/>
      <c r="AU12" s="283" t="str">
        <f>IF(($AU$9+1)&gt;$AX$9,"0","")</f>
        <v/>
      </c>
    </row>
    <row r="13" spans="2:51" ht="12" customHeight="1" thickBot="1" x14ac:dyDescent="0.25">
      <c r="B13" s="72"/>
      <c r="C13" s="85"/>
      <c r="D13" s="426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8"/>
      <c r="Q13" s="414"/>
      <c r="R13" s="72"/>
      <c r="S13" s="426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389"/>
      <c r="AF13" s="417"/>
      <c r="AG13" s="72"/>
      <c r="AH13" s="397"/>
      <c r="AI13" s="398"/>
      <c r="AJ13" s="398"/>
      <c r="AK13" s="398"/>
      <c r="AL13" s="398"/>
      <c r="AM13" s="399"/>
      <c r="AN13" s="88" t="s">
        <v>60</v>
      </c>
      <c r="AO13" s="89"/>
      <c r="AP13" s="89"/>
      <c r="AQ13" s="87"/>
      <c r="AU13" s="283" t="str">
        <f>IF(($AU$9+2)&gt;$AX$9,"0","")</f>
        <v/>
      </c>
    </row>
    <row r="14" spans="2:51" ht="9.9499999999999993" customHeight="1" thickBot="1" x14ac:dyDescent="0.25">
      <c r="B14" s="74"/>
      <c r="C14" s="7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81"/>
      <c r="AU14" s="273" t="str">
        <f>IF(($AU$9+3)&gt;$AX$9,"0","")</f>
        <v/>
      </c>
    </row>
    <row r="15" spans="2:51" x14ac:dyDescent="0.2">
      <c r="B15" s="68"/>
      <c r="C15" s="77" t="s">
        <v>59</v>
      </c>
      <c r="D15" s="90"/>
      <c r="E15" s="91"/>
      <c r="F15" s="91"/>
      <c r="G15" s="91"/>
      <c r="H15" s="92"/>
      <c r="I15" s="90"/>
      <c r="J15" s="91"/>
      <c r="K15" s="91"/>
      <c r="L15" s="91"/>
      <c r="M15" s="92"/>
      <c r="N15" s="90"/>
      <c r="O15" s="91"/>
      <c r="P15" s="91"/>
      <c r="Q15" s="91"/>
      <c r="R15" s="92"/>
      <c r="S15" s="90"/>
      <c r="T15" s="91"/>
      <c r="U15" s="91"/>
      <c r="V15" s="91"/>
      <c r="W15" s="92"/>
      <c r="X15" s="90"/>
      <c r="Y15" s="91"/>
      <c r="Z15" s="91"/>
      <c r="AA15" s="91"/>
      <c r="AB15" s="92"/>
      <c r="AC15" s="90"/>
      <c r="AD15" s="91"/>
      <c r="AE15" s="91"/>
      <c r="AF15" s="91"/>
      <c r="AG15" s="92"/>
      <c r="AH15" s="90"/>
      <c r="AI15" s="91"/>
      <c r="AJ15" s="91"/>
      <c r="AK15" s="91"/>
      <c r="AL15" s="91"/>
      <c r="AM15" s="206" t="s">
        <v>59</v>
      </c>
      <c r="AN15" s="392"/>
      <c r="AO15" s="392"/>
      <c r="AP15" s="392"/>
      <c r="AQ15" s="393"/>
      <c r="AU15" s="273" t="str">
        <f>IF(($AU$9+4)&gt;$AX$9,"0","")</f>
        <v/>
      </c>
    </row>
    <row r="16" spans="2:51" ht="13.5" thickBot="1" x14ac:dyDescent="0.25">
      <c r="B16" s="72"/>
      <c r="C16" s="85" t="s">
        <v>60</v>
      </c>
      <c r="D16" s="72"/>
      <c r="E16" s="93"/>
      <c r="F16" s="93"/>
      <c r="G16" s="93"/>
      <c r="H16" s="94"/>
      <c r="I16" s="72"/>
      <c r="J16" s="93"/>
      <c r="K16" s="93"/>
      <c r="L16" s="93"/>
      <c r="M16" s="94"/>
      <c r="N16" s="72"/>
      <c r="O16" s="93"/>
      <c r="P16" s="93"/>
      <c r="Q16" s="93"/>
      <c r="R16" s="94"/>
      <c r="S16" s="72"/>
      <c r="T16" s="93"/>
      <c r="U16" s="93"/>
      <c r="V16" s="93"/>
      <c r="W16" s="94"/>
      <c r="X16" s="72"/>
      <c r="Y16" s="93"/>
      <c r="Z16" s="93"/>
      <c r="AA16" s="93"/>
      <c r="AB16" s="94"/>
      <c r="AC16" s="72"/>
      <c r="AD16" s="93"/>
      <c r="AE16" s="93"/>
      <c r="AF16" s="93"/>
      <c r="AG16" s="94"/>
      <c r="AH16" s="72"/>
      <c r="AI16" s="93"/>
      <c r="AJ16" s="93"/>
      <c r="AK16" s="93"/>
      <c r="AL16" s="93"/>
      <c r="AM16" s="208" t="s">
        <v>60</v>
      </c>
      <c r="AN16" s="326"/>
      <c r="AO16" s="326"/>
      <c r="AP16" s="326"/>
      <c r="AQ16" s="327"/>
      <c r="AU16" s="273" t="str">
        <f>IF(($AU$9+5)&gt;$AX$9,"0","")</f>
        <v/>
      </c>
    </row>
    <row r="17" spans="2:47" x14ac:dyDescent="0.2">
      <c r="B17" s="68"/>
      <c r="C17" s="77" t="s">
        <v>59</v>
      </c>
      <c r="D17" s="90"/>
      <c r="E17" s="91"/>
      <c r="F17" s="91"/>
      <c r="G17" s="91"/>
      <c r="H17" s="92"/>
      <c r="I17" s="90"/>
      <c r="J17" s="91"/>
      <c r="K17" s="91"/>
      <c r="L17" s="91"/>
      <c r="M17" s="92"/>
      <c r="N17" s="90"/>
      <c r="O17" s="91"/>
      <c r="P17" s="91"/>
      <c r="Q17" s="91"/>
      <c r="R17" s="92"/>
      <c r="S17" s="90"/>
      <c r="T17" s="91"/>
      <c r="U17" s="91"/>
      <c r="V17" s="91"/>
      <c r="W17" s="92"/>
      <c r="X17" s="90"/>
      <c r="Y17" s="91"/>
      <c r="Z17" s="91"/>
      <c r="AA17" s="91"/>
      <c r="AB17" s="92"/>
      <c r="AC17" s="90"/>
      <c r="AD17" s="91"/>
      <c r="AE17" s="91"/>
      <c r="AF17" s="91"/>
      <c r="AG17" s="92"/>
      <c r="AH17" s="90"/>
      <c r="AI17" s="91"/>
      <c r="AJ17" s="91"/>
      <c r="AK17" s="91"/>
      <c r="AL17" s="91"/>
      <c r="AM17" s="206" t="s">
        <v>59</v>
      </c>
      <c r="AN17" s="392"/>
      <c r="AO17" s="392"/>
      <c r="AP17" s="392"/>
      <c r="AQ17" s="393"/>
      <c r="AU17" s="273" t="str">
        <f>IF(($AU$9+6)&gt;$AX$9,"0","")</f>
        <v/>
      </c>
    </row>
    <row r="18" spans="2:47" ht="13.5" thickBot="1" x14ac:dyDescent="0.25">
      <c r="B18" s="72"/>
      <c r="C18" s="85" t="s">
        <v>60</v>
      </c>
      <c r="D18" s="72"/>
      <c r="E18" s="93"/>
      <c r="F18" s="93"/>
      <c r="G18" s="93"/>
      <c r="H18" s="94"/>
      <c r="I18" s="72"/>
      <c r="J18" s="93"/>
      <c r="K18" s="93"/>
      <c r="L18" s="93"/>
      <c r="M18" s="94"/>
      <c r="N18" s="72"/>
      <c r="O18" s="93"/>
      <c r="P18" s="93"/>
      <c r="Q18" s="93"/>
      <c r="R18" s="94"/>
      <c r="S18" s="72"/>
      <c r="T18" s="93"/>
      <c r="U18" s="93"/>
      <c r="V18" s="93"/>
      <c r="W18" s="94"/>
      <c r="X18" s="72"/>
      <c r="Y18" s="93"/>
      <c r="Z18" s="93"/>
      <c r="AA18" s="93"/>
      <c r="AB18" s="94"/>
      <c r="AC18" s="72"/>
      <c r="AD18" s="93"/>
      <c r="AE18" s="93"/>
      <c r="AF18" s="93"/>
      <c r="AG18" s="94"/>
      <c r="AH18" s="72"/>
      <c r="AI18" s="93"/>
      <c r="AJ18" s="93"/>
      <c r="AK18" s="93"/>
      <c r="AL18" s="93"/>
      <c r="AM18" s="207" t="s">
        <v>60</v>
      </c>
      <c r="AN18" s="347"/>
      <c r="AO18" s="347"/>
      <c r="AP18" s="347"/>
      <c r="AQ18" s="348"/>
      <c r="AU18" s="273" t="str">
        <f>IF(($AU$9+7)&gt;$AX$9,"0","")</f>
        <v/>
      </c>
    </row>
    <row r="19" spans="2:47" x14ac:dyDescent="0.2">
      <c r="B19" s="68"/>
      <c r="C19" s="77" t="s">
        <v>59</v>
      </c>
      <c r="D19" s="90"/>
      <c r="E19" s="91"/>
      <c r="F19" s="91"/>
      <c r="G19" s="91"/>
      <c r="H19" s="92"/>
      <c r="I19" s="90"/>
      <c r="J19" s="91"/>
      <c r="K19" s="91"/>
      <c r="L19" s="91"/>
      <c r="M19" s="92"/>
      <c r="N19" s="90"/>
      <c r="O19" s="91"/>
      <c r="P19" s="91"/>
      <c r="Q19" s="91"/>
      <c r="R19" s="92"/>
      <c r="S19" s="90"/>
      <c r="T19" s="91"/>
      <c r="U19" s="91"/>
      <c r="V19" s="91"/>
      <c r="W19" s="92"/>
      <c r="X19" s="90"/>
      <c r="Y19" s="91"/>
      <c r="Z19" s="91"/>
      <c r="AA19" s="91"/>
      <c r="AB19" s="92"/>
      <c r="AC19" s="90"/>
      <c r="AD19" s="91"/>
      <c r="AE19" s="91"/>
      <c r="AF19" s="91"/>
      <c r="AG19" s="92"/>
      <c r="AH19" s="90"/>
      <c r="AI19" s="91"/>
      <c r="AJ19" s="91"/>
      <c r="AK19" s="91"/>
      <c r="AL19" s="91"/>
      <c r="AM19" s="206" t="s">
        <v>59</v>
      </c>
      <c r="AN19" s="392"/>
      <c r="AO19" s="392"/>
      <c r="AP19" s="392"/>
      <c r="AQ19" s="393"/>
      <c r="AU19" s="273" t="str">
        <f>IF(($AU$9+8)&gt;$AX$9,"0","")</f>
        <v/>
      </c>
    </row>
    <row r="20" spans="2:47" ht="13.5" thickBot="1" x14ac:dyDescent="0.25">
      <c r="B20" s="72"/>
      <c r="C20" s="85" t="s">
        <v>60</v>
      </c>
      <c r="D20" s="72"/>
      <c r="E20" s="93"/>
      <c r="F20" s="93"/>
      <c r="G20" s="93"/>
      <c r="H20" s="94"/>
      <c r="I20" s="72"/>
      <c r="J20" s="93"/>
      <c r="K20" s="93"/>
      <c r="L20" s="93"/>
      <c r="M20" s="94"/>
      <c r="N20" s="72"/>
      <c r="O20" s="93"/>
      <c r="P20" s="93"/>
      <c r="Q20" s="93"/>
      <c r="R20" s="94"/>
      <c r="S20" s="72"/>
      <c r="T20" s="93"/>
      <c r="U20" s="93"/>
      <c r="V20" s="93"/>
      <c r="W20" s="94"/>
      <c r="X20" s="72"/>
      <c r="Y20" s="93"/>
      <c r="Z20" s="93"/>
      <c r="AA20" s="93"/>
      <c r="AB20" s="94"/>
      <c r="AC20" s="72"/>
      <c r="AD20" s="93"/>
      <c r="AE20" s="93"/>
      <c r="AF20" s="93"/>
      <c r="AG20" s="94"/>
      <c r="AH20" s="72"/>
      <c r="AI20" s="93"/>
      <c r="AJ20" s="93"/>
      <c r="AK20" s="93"/>
      <c r="AL20" s="93"/>
      <c r="AM20" s="207" t="s">
        <v>60</v>
      </c>
      <c r="AN20" s="347"/>
      <c r="AO20" s="347"/>
      <c r="AP20" s="347"/>
      <c r="AQ20" s="348"/>
      <c r="AU20" s="273" t="str">
        <f>IF(($AU$9+9)&gt;$AX$9,"0","")</f>
        <v/>
      </c>
    </row>
    <row r="21" spans="2:47" ht="9.9499999999999993" customHeight="1" x14ac:dyDescent="0.2">
      <c r="B21" s="74"/>
      <c r="C21" s="74"/>
      <c r="D21" s="378" t="s">
        <v>61</v>
      </c>
      <c r="E21" s="379"/>
      <c r="F21" s="380"/>
      <c r="G21" s="384" t="s">
        <v>62</v>
      </c>
      <c r="H21" s="385"/>
      <c r="I21" s="385"/>
      <c r="J21" s="385"/>
      <c r="K21" s="385"/>
      <c r="L21" s="385"/>
      <c r="M21" s="385"/>
      <c r="N21" s="385"/>
      <c r="O21" s="386"/>
      <c r="P21" s="390" t="s">
        <v>56</v>
      </c>
      <c r="Q21" s="390" t="s">
        <v>63</v>
      </c>
      <c r="R21" s="67"/>
      <c r="S21" s="378" t="s">
        <v>61</v>
      </c>
      <c r="T21" s="379"/>
      <c r="U21" s="380"/>
      <c r="V21" s="384" t="s">
        <v>62</v>
      </c>
      <c r="W21" s="385"/>
      <c r="X21" s="385"/>
      <c r="Y21" s="385"/>
      <c r="Z21" s="385"/>
      <c r="AA21" s="385"/>
      <c r="AB21" s="385"/>
      <c r="AC21" s="385"/>
      <c r="AD21" s="386"/>
      <c r="AE21" s="390" t="s">
        <v>56</v>
      </c>
      <c r="AF21" s="452" t="s">
        <v>63</v>
      </c>
      <c r="AG21" s="95"/>
      <c r="AH21" s="96"/>
      <c r="AI21" s="96"/>
      <c r="AJ21" s="96"/>
      <c r="AK21" s="96"/>
      <c r="AL21" s="96"/>
      <c r="AM21" s="114"/>
      <c r="AN21" s="377" t="s">
        <v>1</v>
      </c>
      <c r="AO21" s="377"/>
      <c r="AP21" s="377" t="s">
        <v>2</v>
      </c>
      <c r="AQ21" s="377"/>
      <c r="AR21" s="97"/>
      <c r="AU21" s="273" t="str">
        <f>IF(($AU$9+10)&gt;$AX$9,"0","")</f>
        <v/>
      </c>
    </row>
    <row r="22" spans="2:47" ht="13.5" thickBot="1" x14ac:dyDescent="0.25">
      <c r="B22" s="74"/>
      <c r="C22" s="74"/>
      <c r="D22" s="381"/>
      <c r="E22" s="382"/>
      <c r="F22" s="383"/>
      <c r="G22" s="387"/>
      <c r="H22" s="388"/>
      <c r="I22" s="388"/>
      <c r="J22" s="388"/>
      <c r="K22" s="388"/>
      <c r="L22" s="388"/>
      <c r="M22" s="388"/>
      <c r="N22" s="388"/>
      <c r="O22" s="389"/>
      <c r="P22" s="391"/>
      <c r="Q22" s="391"/>
      <c r="R22" s="67"/>
      <c r="S22" s="381"/>
      <c r="T22" s="382"/>
      <c r="U22" s="383"/>
      <c r="V22" s="387"/>
      <c r="W22" s="388"/>
      <c r="X22" s="388"/>
      <c r="Y22" s="388"/>
      <c r="Z22" s="388"/>
      <c r="AA22" s="388"/>
      <c r="AB22" s="388"/>
      <c r="AC22" s="388"/>
      <c r="AD22" s="389"/>
      <c r="AE22" s="391"/>
      <c r="AF22" s="453"/>
      <c r="AG22" s="98"/>
      <c r="AH22" s="67"/>
      <c r="AI22" s="99" t="s">
        <v>64</v>
      </c>
      <c r="AJ22" s="99"/>
      <c r="AK22" s="99"/>
      <c r="AL22" s="99"/>
      <c r="AM22" s="99"/>
      <c r="AN22" s="99"/>
      <c r="AO22" s="100"/>
      <c r="AP22" s="100"/>
      <c r="AQ22" s="101"/>
      <c r="AR22" s="97"/>
      <c r="AU22" s="273" t="str">
        <f>IF(($AU$9+11)&gt;$AX$9,"0","")</f>
        <v/>
      </c>
    </row>
    <row r="23" spans="2:47" ht="13.5" customHeight="1" x14ac:dyDescent="0.2">
      <c r="B23" s="74"/>
      <c r="C23" s="74"/>
      <c r="D23" s="216"/>
      <c r="E23" s="209"/>
      <c r="F23" s="210"/>
      <c r="G23" s="211" t="s">
        <v>65</v>
      </c>
      <c r="H23" s="212"/>
      <c r="I23" s="212"/>
      <c r="J23" s="212"/>
      <c r="K23" s="212"/>
      <c r="L23" s="212"/>
      <c r="M23" s="212"/>
      <c r="N23" s="212"/>
      <c r="O23" s="213"/>
      <c r="P23" s="214"/>
      <c r="Q23" s="214"/>
      <c r="R23" s="215"/>
      <c r="S23" s="216"/>
      <c r="T23" s="209"/>
      <c r="U23" s="210"/>
      <c r="V23" s="211" t="s">
        <v>65</v>
      </c>
      <c r="W23" s="212"/>
      <c r="X23" s="212"/>
      <c r="Y23" s="212"/>
      <c r="Z23" s="212"/>
      <c r="AA23" s="212"/>
      <c r="AB23" s="212"/>
      <c r="AC23" s="212"/>
      <c r="AD23" s="213"/>
      <c r="AE23" s="214"/>
      <c r="AF23" s="216"/>
      <c r="AG23" s="365" t="s">
        <v>83</v>
      </c>
      <c r="AH23" s="366"/>
      <c r="AI23" s="366"/>
      <c r="AJ23" s="367"/>
      <c r="AK23" s="371" t="s">
        <v>66</v>
      </c>
      <c r="AL23" s="372"/>
      <c r="AM23" s="372"/>
      <c r="AN23" s="372"/>
      <c r="AO23" s="372"/>
      <c r="AP23" s="372"/>
      <c r="AQ23" s="373"/>
      <c r="AU23" s="273" t="str">
        <f>IF(($AU$9+12)&gt;$AX$9,"0","")</f>
        <v/>
      </c>
    </row>
    <row r="24" spans="2:47" ht="13.5" customHeight="1" thickBot="1" x14ac:dyDescent="0.25">
      <c r="B24" s="74"/>
      <c r="C24" s="74"/>
      <c r="D24" s="216"/>
      <c r="E24" s="209"/>
      <c r="F24" s="210"/>
      <c r="G24" s="217">
        <v>2</v>
      </c>
      <c r="H24" s="209"/>
      <c r="I24" s="209"/>
      <c r="J24" s="209"/>
      <c r="K24" s="209"/>
      <c r="L24" s="209"/>
      <c r="M24" s="209"/>
      <c r="N24" s="209"/>
      <c r="O24" s="210"/>
      <c r="P24" s="214"/>
      <c r="Q24" s="214"/>
      <c r="R24" s="215"/>
      <c r="S24" s="216"/>
      <c r="T24" s="209"/>
      <c r="U24" s="210"/>
      <c r="V24" s="217">
        <v>2</v>
      </c>
      <c r="W24" s="209"/>
      <c r="X24" s="209"/>
      <c r="Y24" s="209"/>
      <c r="Z24" s="209"/>
      <c r="AA24" s="209"/>
      <c r="AB24" s="209"/>
      <c r="AC24" s="209"/>
      <c r="AD24" s="210"/>
      <c r="AE24" s="214"/>
      <c r="AF24" s="216"/>
      <c r="AG24" s="368"/>
      <c r="AH24" s="369"/>
      <c r="AI24" s="369"/>
      <c r="AJ24" s="370"/>
      <c r="AK24" s="374"/>
      <c r="AL24" s="375"/>
      <c r="AM24" s="375"/>
      <c r="AN24" s="375"/>
      <c r="AO24" s="375"/>
      <c r="AP24" s="375"/>
      <c r="AQ24" s="376"/>
      <c r="AU24" s="273" t="str">
        <f>IF(($AU$9+13)&gt;$AX$9,"0","")</f>
        <v/>
      </c>
    </row>
    <row r="25" spans="2:47" ht="13.5" customHeight="1" x14ac:dyDescent="0.2">
      <c r="B25" s="74"/>
      <c r="C25" s="74"/>
      <c r="D25" s="216"/>
      <c r="E25" s="209"/>
      <c r="F25" s="210"/>
      <c r="G25" s="217">
        <v>3</v>
      </c>
      <c r="H25" s="209"/>
      <c r="I25" s="209"/>
      <c r="J25" s="209"/>
      <c r="K25" s="209"/>
      <c r="L25" s="209"/>
      <c r="M25" s="209"/>
      <c r="N25" s="209"/>
      <c r="O25" s="210"/>
      <c r="P25" s="214"/>
      <c r="Q25" s="214"/>
      <c r="R25" s="215"/>
      <c r="S25" s="216"/>
      <c r="T25" s="209"/>
      <c r="U25" s="210"/>
      <c r="V25" s="217">
        <v>3</v>
      </c>
      <c r="W25" s="209"/>
      <c r="X25" s="209"/>
      <c r="Y25" s="209"/>
      <c r="Z25" s="209"/>
      <c r="AA25" s="209"/>
      <c r="AB25" s="209"/>
      <c r="AC25" s="209"/>
      <c r="AD25" s="210"/>
      <c r="AE25" s="214"/>
      <c r="AF25" s="216"/>
      <c r="AG25" s="365" t="s">
        <v>2</v>
      </c>
      <c r="AH25" s="366"/>
      <c r="AI25" s="366"/>
      <c r="AJ25" s="367"/>
      <c r="AK25" s="371" t="s">
        <v>66</v>
      </c>
      <c r="AL25" s="372"/>
      <c r="AM25" s="372"/>
      <c r="AN25" s="372"/>
      <c r="AO25" s="372"/>
      <c r="AP25" s="372"/>
      <c r="AQ25" s="373"/>
      <c r="AU25" s="273" t="str">
        <f>IF(($AU$9+14)&gt;$AX$9,"0","")</f>
        <v>0</v>
      </c>
    </row>
    <row r="26" spans="2:47" ht="13.5" customHeight="1" thickBot="1" x14ac:dyDescent="0.25">
      <c r="B26" s="74"/>
      <c r="C26" s="74"/>
      <c r="D26" s="216"/>
      <c r="E26" s="209"/>
      <c r="F26" s="210"/>
      <c r="G26" s="217">
        <v>4</v>
      </c>
      <c r="H26" s="209"/>
      <c r="I26" s="209"/>
      <c r="J26" s="209"/>
      <c r="K26" s="209"/>
      <c r="L26" s="209"/>
      <c r="M26" s="209"/>
      <c r="N26" s="209"/>
      <c r="O26" s="210"/>
      <c r="P26" s="214"/>
      <c r="Q26" s="214"/>
      <c r="R26" s="215"/>
      <c r="S26" s="216"/>
      <c r="T26" s="209"/>
      <c r="U26" s="210"/>
      <c r="V26" s="217">
        <v>4</v>
      </c>
      <c r="W26" s="209"/>
      <c r="X26" s="209"/>
      <c r="Y26" s="209"/>
      <c r="Z26" s="209"/>
      <c r="AA26" s="209"/>
      <c r="AB26" s="209"/>
      <c r="AC26" s="209"/>
      <c r="AD26" s="210"/>
      <c r="AE26" s="214"/>
      <c r="AF26" s="216"/>
      <c r="AG26" s="368"/>
      <c r="AH26" s="369"/>
      <c r="AI26" s="369"/>
      <c r="AJ26" s="370"/>
      <c r="AK26" s="374"/>
      <c r="AL26" s="375"/>
      <c r="AM26" s="375"/>
      <c r="AN26" s="375"/>
      <c r="AO26" s="375"/>
      <c r="AP26" s="375"/>
      <c r="AQ26" s="376"/>
      <c r="AU26" s="273" t="str">
        <f>IF(($AU$9+15)&gt;$AX$9,"0","")</f>
        <v>0</v>
      </c>
    </row>
    <row r="27" spans="2:47" ht="13.5" customHeight="1" x14ac:dyDescent="0.2">
      <c r="B27" s="74"/>
      <c r="C27" s="74"/>
      <c r="D27" s="216"/>
      <c r="E27" s="209"/>
      <c r="F27" s="210"/>
      <c r="G27" s="217">
        <v>5</v>
      </c>
      <c r="H27" s="209"/>
      <c r="I27" s="209"/>
      <c r="J27" s="209"/>
      <c r="K27" s="209"/>
      <c r="L27" s="209"/>
      <c r="M27" s="209"/>
      <c r="N27" s="209"/>
      <c r="O27" s="210"/>
      <c r="P27" s="214"/>
      <c r="Q27" s="214"/>
      <c r="R27" s="215"/>
      <c r="S27" s="216"/>
      <c r="T27" s="209"/>
      <c r="U27" s="210"/>
      <c r="V27" s="217">
        <v>5</v>
      </c>
      <c r="W27" s="209"/>
      <c r="X27" s="209"/>
      <c r="Y27" s="209"/>
      <c r="Z27" s="209"/>
      <c r="AA27" s="209"/>
      <c r="AB27" s="209"/>
      <c r="AC27" s="209"/>
      <c r="AD27" s="210"/>
      <c r="AE27" s="214"/>
      <c r="AF27" s="214"/>
      <c r="AG27" s="102" t="s">
        <v>67</v>
      </c>
      <c r="AH27" s="67"/>
      <c r="AI27" s="67"/>
      <c r="AJ27" s="67"/>
      <c r="AK27" s="67"/>
      <c r="AL27" s="67"/>
      <c r="AM27" s="67"/>
      <c r="AN27" s="67"/>
      <c r="AO27" s="67" t="s">
        <v>68</v>
      </c>
      <c r="AP27" s="67"/>
      <c r="AQ27" s="81"/>
      <c r="AU27" s="273" t="str">
        <f>IF(($AU$9+16)&gt;$AX$9,"0","")</f>
        <v>0</v>
      </c>
    </row>
    <row r="28" spans="2:47" ht="13.5" customHeight="1" x14ac:dyDescent="0.2">
      <c r="B28" s="74"/>
      <c r="C28" s="74"/>
      <c r="D28" s="216"/>
      <c r="E28" s="209"/>
      <c r="F28" s="210"/>
      <c r="G28" s="217">
        <v>6</v>
      </c>
      <c r="H28" s="209"/>
      <c r="I28" s="209"/>
      <c r="J28" s="209"/>
      <c r="K28" s="209"/>
      <c r="L28" s="209"/>
      <c r="M28" s="209"/>
      <c r="N28" s="209"/>
      <c r="O28" s="210"/>
      <c r="P28" s="214"/>
      <c r="Q28" s="214"/>
      <c r="R28" s="215"/>
      <c r="S28" s="216"/>
      <c r="T28" s="209"/>
      <c r="U28" s="210"/>
      <c r="V28" s="217">
        <v>6</v>
      </c>
      <c r="W28" s="209"/>
      <c r="X28" s="209"/>
      <c r="Y28" s="209"/>
      <c r="Z28" s="209"/>
      <c r="AA28" s="209"/>
      <c r="AB28" s="209"/>
      <c r="AC28" s="209"/>
      <c r="AD28" s="210"/>
      <c r="AE28" s="214"/>
      <c r="AF28" s="214"/>
      <c r="AG28" s="103"/>
      <c r="AH28" s="67"/>
      <c r="AI28" s="67"/>
      <c r="AJ28" s="67"/>
      <c r="AK28" s="67"/>
      <c r="AL28" s="67"/>
      <c r="AM28" s="67"/>
      <c r="AN28" s="67"/>
      <c r="AO28" s="67"/>
      <c r="AP28" s="67"/>
      <c r="AQ28" s="81"/>
      <c r="AU28" s="273" t="str">
        <f>IF(($AU$9+17)&gt;$AX$9,"0","")</f>
        <v>0</v>
      </c>
    </row>
    <row r="29" spans="2:47" ht="13.5" customHeight="1" thickBot="1" x14ac:dyDescent="0.25">
      <c r="B29" s="74"/>
      <c r="C29" s="74"/>
      <c r="D29" s="216"/>
      <c r="E29" s="209"/>
      <c r="F29" s="210"/>
      <c r="G29" s="217">
        <v>7</v>
      </c>
      <c r="H29" s="209"/>
      <c r="I29" s="209"/>
      <c r="J29" s="209"/>
      <c r="K29" s="209"/>
      <c r="L29" s="209"/>
      <c r="M29" s="209"/>
      <c r="N29" s="209"/>
      <c r="O29" s="210"/>
      <c r="P29" s="214"/>
      <c r="Q29" s="214"/>
      <c r="R29" s="215"/>
      <c r="S29" s="216"/>
      <c r="T29" s="209"/>
      <c r="U29" s="210"/>
      <c r="V29" s="217">
        <v>7</v>
      </c>
      <c r="W29" s="209"/>
      <c r="X29" s="209"/>
      <c r="Y29" s="209"/>
      <c r="Z29" s="209"/>
      <c r="AA29" s="209"/>
      <c r="AB29" s="209"/>
      <c r="AC29" s="209"/>
      <c r="AD29" s="210"/>
      <c r="AE29" s="214"/>
      <c r="AF29" s="214"/>
      <c r="AG29" s="74" t="s">
        <v>69</v>
      </c>
      <c r="AH29" s="67"/>
      <c r="AI29" s="67"/>
      <c r="AJ29" s="67"/>
      <c r="AK29" s="67"/>
      <c r="AL29" s="67"/>
      <c r="AM29" s="67"/>
      <c r="AN29" s="67"/>
      <c r="AO29" s="67"/>
      <c r="AP29" s="67"/>
      <c r="AQ29" s="81"/>
      <c r="AU29" s="273"/>
    </row>
    <row r="30" spans="2:47" ht="13.5" customHeight="1" thickBot="1" x14ac:dyDescent="0.25">
      <c r="B30" s="74"/>
      <c r="C30" s="74"/>
      <c r="D30" s="222"/>
      <c r="E30" s="218"/>
      <c r="F30" s="219"/>
      <c r="G30" s="220">
        <v>8</v>
      </c>
      <c r="H30" s="218"/>
      <c r="I30" s="218"/>
      <c r="J30" s="218"/>
      <c r="K30" s="218"/>
      <c r="L30" s="218"/>
      <c r="M30" s="218"/>
      <c r="N30" s="218"/>
      <c r="O30" s="219"/>
      <c r="P30" s="221"/>
      <c r="Q30" s="221"/>
      <c r="R30" s="215"/>
      <c r="S30" s="222"/>
      <c r="T30" s="218"/>
      <c r="U30" s="219"/>
      <c r="V30" s="220">
        <v>8</v>
      </c>
      <c r="W30" s="218"/>
      <c r="X30" s="218"/>
      <c r="Y30" s="218"/>
      <c r="Z30" s="218"/>
      <c r="AA30" s="218"/>
      <c r="AB30" s="218"/>
      <c r="AC30" s="218"/>
      <c r="AD30" s="219"/>
      <c r="AE30" s="221"/>
      <c r="AF30" s="221"/>
      <c r="AG30" s="104" t="s">
        <v>70</v>
      </c>
      <c r="AH30" s="70"/>
      <c r="AI30" s="70"/>
      <c r="AJ30" s="70"/>
      <c r="AK30" s="70"/>
      <c r="AL30" s="70"/>
      <c r="AM30" s="70"/>
      <c r="AN30" s="70"/>
      <c r="AO30" s="70"/>
      <c r="AP30" s="70"/>
      <c r="AQ30" s="79"/>
      <c r="AU30" s="273"/>
    </row>
    <row r="31" spans="2:47" ht="13.5" customHeight="1" thickBot="1" x14ac:dyDescent="0.25">
      <c r="B31" s="74"/>
      <c r="C31" s="74"/>
      <c r="D31" s="89"/>
      <c r="E31" s="105"/>
      <c r="F31" s="105"/>
      <c r="G31" s="105"/>
      <c r="H31" s="105"/>
      <c r="I31" s="105"/>
      <c r="J31" s="106" t="s">
        <v>71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7"/>
      <c r="AG31" s="84" t="s">
        <v>72</v>
      </c>
      <c r="AH31" s="67"/>
      <c r="AI31" s="67"/>
      <c r="AJ31" s="67"/>
      <c r="AK31" s="67"/>
      <c r="AL31" s="67"/>
      <c r="AM31" s="67"/>
      <c r="AN31" s="67"/>
      <c r="AO31" s="67"/>
      <c r="AP31" s="67"/>
      <c r="AQ31" s="81"/>
      <c r="AU31" s="273"/>
    </row>
    <row r="32" spans="2:47" ht="13.5" customHeight="1" thickBot="1" x14ac:dyDescent="0.25">
      <c r="B32" s="74"/>
      <c r="C32" s="74"/>
      <c r="D32" s="108" t="s">
        <v>73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7"/>
      <c r="S32" s="108" t="s">
        <v>74</v>
      </c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7"/>
      <c r="AG32" s="109" t="s">
        <v>75</v>
      </c>
      <c r="AH32" s="110"/>
      <c r="AI32" s="110"/>
      <c r="AJ32" s="110"/>
      <c r="AK32" s="110"/>
      <c r="AL32" s="87"/>
      <c r="AM32" s="111" t="s">
        <v>76</v>
      </c>
      <c r="AN32" s="110"/>
      <c r="AO32" s="110"/>
      <c r="AP32" s="110"/>
      <c r="AQ32" s="87"/>
      <c r="AU32" s="273"/>
    </row>
    <row r="33" spans="2:47" ht="17.25" customHeight="1" thickBot="1" x14ac:dyDescent="0.25">
      <c r="B33" s="72"/>
      <c r="C33" s="72"/>
      <c r="D33" s="108" t="s">
        <v>77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7"/>
      <c r="S33" s="108" t="s">
        <v>6</v>
      </c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7"/>
      <c r="AG33" s="112" t="s">
        <v>78</v>
      </c>
      <c r="AH33" s="73"/>
      <c r="AI33" s="73"/>
      <c r="AJ33" s="73"/>
      <c r="AK33" s="73"/>
      <c r="AL33" s="87"/>
      <c r="AM33" s="113" t="s">
        <v>79</v>
      </c>
      <c r="AN33" s="73"/>
      <c r="AO33" s="73"/>
      <c r="AP33" s="73"/>
      <c r="AQ33" s="87"/>
      <c r="AU33" s="274"/>
    </row>
    <row r="34" spans="2:47" ht="15.95" customHeight="1" thickBot="1" x14ac:dyDescent="0.25"/>
    <row r="35" spans="2:47" ht="17.25" customHeight="1" x14ac:dyDescent="0.25">
      <c r="B35" s="68"/>
      <c r="C35" s="68"/>
      <c r="D35" s="69" t="s">
        <v>44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1" t="s">
        <v>89</v>
      </c>
      <c r="Z35" s="70"/>
      <c r="AA35" s="70"/>
      <c r="AB35" s="70"/>
      <c r="AC35" s="70"/>
      <c r="AD35" s="70"/>
      <c r="AE35" s="70"/>
      <c r="AF35" s="70"/>
      <c r="AG35" s="70"/>
      <c r="AH35" s="441" t="s">
        <v>45</v>
      </c>
      <c r="AI35" s="442"/>
      <c r="AJ35" s="442"/>
      <c r="AK35" s="442"/>
      <c r="AL35" s="442"/>
      <c r="AM35" s="443">
        <f>IF(($AU$9+1)&gt;$AX$9,"",VLOOKUP($AU$9+1,Spielplan,3,0))</f>
        <v>0</v>
      </c>
      <c r="AN35" s="443"/>
      <c r="AO35" s="443"/>
      <c r="AP35" s="443"/>
      <c r="AQ35" s="444"/>
    </row>
    <row r="36" spans="2:47" ht="0.75" customHeight="1" thickBot="1" x14ac:dyDescent="0.25">
      <c r="B36" s="72"/>
      <c r="C36" s="72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4"/>
      <c r="AI36" s="67"/>
      <c r="AJ36" s="67"/>
      <c r="AK36" s="67"/>
      <c r="AL36" s="67"/>
      <c r="AM36" s="75"/>
      <c r="AN36" s="75"/>
      <c r="AO36" s="75"/>
      <c r="AP36" s="75"/>
      <c r="AQ36" s="76"/>
    </row>
    <row r="37" spans="2:47" ht="15" x14ac:dyDescent="0.25">
      <c r="B37" s="68"/>
      <c r="C37" s="77"/>
      <c r="D37" s="68"/>
      <c r="E37" s="78" t="s">
        <v>6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9"/>
      <c r="S37" s="439" t="s">
        <v>46</v>
      </c>
      <c r="T37" s="440"/>
      <c r="U37" s="440"/>
      <c r="V37" s="440"/>
      <c r="W37" s="440"/>
      <c r="X37" s="440"/>
      <c r="Y37" s="366" t="str">
        <f>IF(($AU$9+1)&gt;$AX$9,"","SHTV")</f>
        <v>SHTV</v>
      </c>
      <c r="Z37" s="366"/>
      <c r="AA37" s="366"/>
      <c r="AB37" s="366"/>
      <c r="AC37" s="366"/>
      <c r="AD37" s="366"/>
      <c r="AE37" s="366"/>
      <c r="AF37" s="366"/>
      <c r="AG37" s="366"/>
      <c r="AH37" s="430" t="s">
        <v>47</v>
      </c>
      <c r="AI37" s="431"/>
      <c r="AJ37" s="431"/>
      <c r="AK37" s="431"/>
      <c r="AL37" s="431"/>
      <c r="AM37" s="434">
        <f>IF(($AU$9+1)&gt;$AX$9,"",VLOOKUP($AU$9+1,Spielplan,4,0))</f>
        <v>1</v>
      </c>
      <c r="AN37" s="435"/>
      <c r="AO37" s="435"/>
      <c r="AP37" s="435"/>
      <c r="AQ37" s="436"/>
    </row>
    <row r="38" spans="2:47" ht="9.9499999999999993" customHeight="1" x14ac:dyDescent="0.2">
      <c r="B38" s="74"/>
      <c r="C38" s="80"/>
      <c r="D38" s="74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81"/>
      <c r="S38" s="423"/>
      <c r="T38" s="406"/>
      <c r="U38" s="406"/>
      <c r="V38" s="406"/>
      <c r="W38" s="406"/>
      <c r="X38" s="406"/>
      <c r="Y38" s="425"/>
      <c r="Z38" s="425"/>
      <c r="AA38" s="425"/>
      <c r="AB38" s="425"/>
      <c r="AC38" s="425"/>
      <c r="AD38" s="425"/>
      <c r="AE38" s="425"/>
      <c r="AF38" s="425"/>
      <c r="AG38" s="425"/>
      <c r="AH38" s="432"/>
      <c r="AI38" s="433"/>
      <c r="AJ38" s="433"/>
      <c r="AK38" s="433"/>
      <c r="AL38" s="433"/>
      <c r="AM38" s="437"/>
      <c r="AN38" s="437"/>
      <c r="AO38" s="437"/>
      <c r="AP38" s="437"/>
      <c r="AQ38" s="438"/>
    </row>
    <row r="39" spans="2:47" ht="13.15" customHeight="1" x14ac:dyDescent="0.2">
      <c r="B39" s="74"/>
      <c r="C39" s="80"/>
      <c r="D39" s="74"/>
      <c r="E39" s="67" t="s">
        <v>48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81"/>
      <c r="S39" s="422" t="s">
        <v>49</v>
      </c>
      <c r="T39" s="406"/>
      <c r="U39" s="406"/>
      <c r="V39" s="406"/>
      <c r="W39" s="406"/>
      <c r="X39" s="406"/>
      <c r="Y39" s="425">
        <f>IF(($AU$9+1)&gt;$AX$9,"",Platzierung!$U$3)</f>
        <v>0</v>
      </c>
      <c r="Z39" s="425"/>
      <c r="AA39" s="425"/>
      <c r="AB39" s="425"/>
      <c r="AC39" s="425"/>
      <c r="AD39" s="425"/>
      <c r="AE39" s="425"/>
      <c r="AF39" s="425"/>
      <c r="AG39" s="425"/>
      <c r="AH39" s="430" t="s">
        <v>50</v>
      </c>
      <c r="AI39" s="431"/>
      <c r="AJ39" s="431"/>
      <c r="AK39" s="431"/>
      <c r="AL39" s="431"/>
      <c r="AM39" s="434">
        <f>IF(($AU$9+1)&gt;$AX$9,"",VLOOKUP($AU$9+1,Spielplan,6,0))</f>
        <v>2</v>
      </c>
      <c r="AN39" s="435"/>
      <c r="AO39" s="435"/>
      <c r="AP39" s="435"/>
      <c r="AQ39" s="436"/>
    </row>
    <row r="40" spans="2:47" ht="9.9499999999999993" customHeight="1" x14ac:dyDescent="0.2">
      <c r="B40" s="74"/>
      <c r="C40" s="80"/>
      <c r="D40" s="74"/>
      <c r="E40" s="67"/>
      <c r="F40" s="67"/>
      <c r="G40" s="67"/>
      <c r="H40" s="67"/>
      <c r="I40" s="67"/>
      <c r="J40" s="82" t="s">
        <v>51</v>
      </c>
      <c r="K40" s="67"/>
      <c r="L40" s="67"/>
      <c r="M40" s="67"/>
      <c r="N40" s="67"/>
      <c r="O40" s="67"/>
      <c r="P40" s="67"/>
      <c r="Q40" s="67"/>
      <c r="R40" s="81"/>
      <c r="S40" s="423"/>
      <c r="T40" s="406"/>
      <c r="U40" s="406"/>
      <c r="V40" s="406"/>
      <c r="W40" s="406"/>
      <c r="X40" s="406"/>
      <c r="Y40" s="425"/>
      <c r="Z40" s="425"/>
      <c r="AA40" s="425"/>
      <c r="AB40" s="425"/>
      <c r="AC40" s="425"/>
      <c r="AD40" s="425"/>
      <c r="AE40" s="425"/>
      <c r="AF40" s="425"/>
      <c r="AG40" s="425"/>
      <c r="AH40" s="432"/>
      <c r="AI40" s="433"/>
      <c r="AJ40" s="433"/>
      <c r="AK40" s="433"/>
      <c r="AL40" s="433"/>
      <c r="AM40" s="437"/>
      <c r="AN40" s="437"/>
      <c r="AO40" s="437"/>
      <c r="AP40" s="437"/>
      <c r="AQ40" s="438"/>
    </row>
    <row r="41" spans="2:47" ht="15.75" customHeight="1" x14ac:dyDescent="0.2">
      <c r="B41" s="74"/>
      <c r="C41" s="80"/>
      <c r="D41" s="418">
        <f>IF(($AU$9+1)&gt;$AX$9,"",VLOOKUP($AU$9+1,Spielplan,10,0))</f>
        <v>0</v>
      </c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20"/>
      <c r="S41" s="422" t="s">
        <v>52</v>
      </c>
      <c r="T41" s="406"/>
      <c r="U41" s="406"/>
      <c r="V41" s="406"/>
      <c r="W41" s="406"/>
      <c r="X41" s="406"/>
      <c r="Y41" s="424">
        <f>IF(($AU$9+1)&gt;$AX$9,"",VLOOKUP($AU$9+1,Spielplan,2,0))</f>
        <v>0</v>
      </c>
      <c r="Z41" s="425"/>
      <c r="AA41" s="425"/>
      <c r="AB41" s="425"/>
      <c r="AC41" s="425"/>
      <c r="AD41" s="425"/>
      <c r="AE41" s="425"/>
      <c r="AF41" s="425"/>
      <c r="AG41" s="425"/>
      <c r="AH41" s="405" t="s">
        <v>53</v>
      </c>
      <c r="AI41" s="406"/>
      <c r="AJ41" s="406"/>
      <c r="AK41" s="406"/>
      <c r="AL41" s="406"/>
      <c r="AM41" s="400">
        <f>IF(($AU$9+1)&gt;$AX$9,"",VLOOKUP($AU$9+1,Spielplan,5,0))</f>
        <v>2</v>
      </c>
      <c r="AN41" s="401"/>
      <c r="AO41" s="401"/>
      <c r="AP41" s="401"/>
      <c r="AQ41" s="402"/>
    </row>
    <row r="42" spans="2:47" ht="11.1" customHeight="1" thickBot="1" x14ac:dyDescent="0.25">
      <c r="B42" s="74"/>
      <c r="C42" s="80"/>
      <c r="D42" s="421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20"/>
      <c r="S42" s="423"/>
      <c r="T42" s="406"/>
      <c r="U42" s="406"/>
      <c r="V42" s="406"/>
      <c r="W42" s="406"/>
      <c r="X42" s="406"/>
      <c r="Y42" s="425"/>
      <c r="Z42" s="425"/>
      <c r="AA42" s="425"/>
      <c r="AB42" s="425"/>
      <c r="AC42" s="425"/>
      <c r="AD42" s="425"/>
      <c r="AE42" s="425"/>
      <c r="AF42" s="425"/>
      <c r="AG42" s="425"/>
      <c r="AH42" s="407"/>
      <c r="AI42" s="408"/>
      <c r="AJ42" s="408"/>
      <c r="AK42" s="408"/>
      <c r="AL42" s="408"/>
      <c r="AM42" s="403"/>
      <c r="AN42" s="403"/>
      <c r="AO42" s="403"/>
      <c r="AP42" s="403"/>
      <c r="AQ42" s="404"/>
    </row>
    <row r="43" spans="2:47" ht="11.1" customHeight="1" thickBot="1" x14ac:dyDescent="0.25">
      <c r="B43" s="74"/>
      <c r="C43" s="80"/>
      <c r="D43" s="72"/>
      <c r="E43" s="73"/>
      <c r="F43" s="73"/>
      <c r="G43" s="73"/>
      <c r="H43" s="73"/>
      <c r="I43" s="73"/>
      <c r="J43" s="73" t="s">
        <v>54</v>
      </c>
      <c r="K43" s="73"/>
      <c r="L43" s="73"/>
      <c r="M43" s="73"/>
      <c r="N43" s="73"/>
      <c r="O43" s="67"/>
      <c r="P43" s="67"/>
      <c r="Q43" s="73"/>
      <c r="R43" s="83"/>
      <c r="S43" s="74"/>
      <c r="T43" s="67"/>
      <c r="U43" s="67"/>
      <c r="V43" s="67"/>
      <c r="W43" s="67"/>
      <c r="X43" s="67"/>
      <c r="Y43" s="409"/>
      <c r="Z43" s="409"/>
      <c r="AA43" s="409"/>
      <c r="AB43" s="409"/>
      <c r="AC43" s="409"/>
      <c r="AD43" s="409"/>
      <c r="AE43" s="409"/>
      <c r="AF43" s="410"/>
      <c r="AG43" s="411"/>
      <c r="AH43" s="84" t="s">
        <v>55</v>
      </c>
      <c r="AI43" s="67"/>
      <c r="AJ43" s="67"/>
      <c r="AK43" s="67"/>
      <c r="AL43" s="67"/>
      <c r="AM43" s="67"/>
      <c r="AN43" s="67"/>
      <c r="AO43" s="85"/>
      <c r="AP43" s="67"/>
      <c r="AQ43" s="81"/>
    </row>
    <row r="44" spans="2:47" ht="13.5" customHeight="1" thickBot="1" x14ac:dyDescent="0.3">
      <c r="B44" s="74"/>
      <c r="C44" s="80"/>
      <c r="D44" s="68"/>
      <c r="E44" s="78" t="s">
        <v>8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412" t="s">
        <v>56</v>
      </c>
      <c r="R44" s="68"/>
      <c r="S44" s="68"/>
      <c r="T44" s="78" t="s">
        <v>7</v>
      </c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9"/>
      <c r="AF44" s="415" t="s">
        <v>56</v>
      </c>
      <c r="AG44" s="74"/>
      <c r="AH44" s="86" t="s">
        <v>57</v>
      </c>
      <c r="AI44" s="73"/>
      <c r="AJ44" s="73"/>
      <c r="AK44" s="73"/>
      <c r="AL44" s="73"/>
      <c r="AM44" s="73"/>
      <c r="AN44" s="73"/>
      <c r="AO44" s="87"/>
      <c r="AP44" s="67"/>
      <c r="AQ44" s="81"/>
    </row>
    <row r="45" spans="2:47" ht="12" customHeight="1" thickBot="1" x14ac:dyDescent="0.25">
      <c r="B45" s="74"/>
      <c r="C45" s="80"/>
      <c r="D45" s="418">
        <f>IF(($AU$9+1)&gt;$AX$9,"",VLOOKUP($AU$9+1,Spielplan,7,0))</f>
        <v>0</v>
      </c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20"/>
      <c r="Q45" s="413"/>
      <c r="R45" s="74"/>
      <c r="S45" s="418">
        <f>IF(($AU$9+1)&gt;$AX$9,"",VLOOKUP($AU$9+1,Spielplan,9,0))</f>
        <v>0</v>
      </c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29"/>
      <c r="AF45" s="416"/>
      <c r="AG45" s="74"/>
      <c r="AH45" s="394" t="s">
        <v>58</v>
      </c>
      <c r="AI45" s="395"/>
      <c r="AJ45" s="395"/>
      <c r="AK45" s="395"/>
      <c r="AL45" s="395"/>
      <c r="AM45" s="396"/>
      <c r="AN45" s="88" t="s">
        <v>59</v>
      </c>
      <c r="AO45" s="89"/>
      <c r="AP45" s="89"/>
      <c r="AQ45" s="87"/>
    </row>
    <row r="46" spans="2:47" ht="12" customHeight="1" thickBot="1" x14ac:dyDescent="0.25">
      <c r="B46" s="72"/>
      <c r="C46" s="85"/>
      <c r="D46" s="426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8"/>
      <c r="Q46" s="414"/>
      <c r="R46" s="72"/>
      <c r="S46" s="426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389"/>
      <c r="AF46" s="417"/>
      <c r="AG46" s="72"/>
      <c r="AH46" s="397"/>
      <c r="AI46" s="398"/>
      <c r="AJ46" s="398"/>
      <c r="AK46" s="398"/>
      <c r="AL46" s="398"/>
      <c r="AM46" s="399"/>
      <c r="AN46" s="88" t="s">
        <v>60</v>
      </c>
      <c r="AO46" s="89"/>
      <c r="AP46" s="89"/>
      <c r="AQ46" s="87"/>
    </row>
    <row r="47" spans="2:47" ht="9.9499999999999993" customHeight="1" thickBot="1" x14ac:dyDescent="0.25">
      <c r="B47" s="74"/>
      <c r="C47" s="7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81"/>
    </row>
    <row r="48" spans="2:47" x14ac:dyDescent="0.2">
      <c r="B48" s="68"/>
      <c r="C48" s="77" t="s">
        <v>59</v>
      </c>
      <c r="D48" s="90"/>
      <c r="E48" s="91"/>
      <c r="F48" s="91"/>
      <c r="G48" s="91"/>
      <c r="H48" s="92"/>
      <c r="I48" s="90"/>
      <c r="J48" s="91"/>
      <c r="K48" s="91"/>
      <c r="L48" s="91"/>
      <c r="M48" s="92"/>
      <c r="N48" s="90"/>
      <c r="O48" s="91"/>
      <c r="P48" s="91"/>
      <c r="Q48" s="91"/>
      <c r="R48" s="92"/>
      <c r="S48" s="90"/>
      <c r="T48" s="91"/>
      <c r="U48" s="91"/>
      <c r="V48" s="91"/>
      <c r="W48" s="92"/>
      <c r="X48" s="90"/>
      <c r="Y48" s="91"/>
      <c r="Z48" s="91"/>
      <c r="AA48" s="91"/>
      <c r="AB48" s="92"/>
      <c r="AC48" s="90"/>
      <c r="AD48" s="91"/>
      <c r="AE48" s="91"/>
      <c r="AF48" s="91"/>
      <c r="AG48" s="92"/>
      <c r="AH48" s="90"/>
      <c r="AI48" s="91"/>
      <c r="AJ48" s="91"/>
      <c r="AK48" s="91"/>
      <c r="AL48" s="91"/>
      <c r="AM48" s="206" t="s">
        <v>59</v>
      </c>
      <c r="AN48" s="392"/>
      <c r="AO48" s="392"/>
      <c r="AP48" s="392"/>
      <c r="AQ48" s="393"/>
    </row>
    <row r="49" spans="2:44" ht="13.5" thickBot="1" x14ac:dyDescent="0.25">
      <c r="B49" s="72"/>
      <c r="C49" s="85" t="s">
        <v>60</v>
      </c>
      <c r="D49" s="72"/>
      <c r="E49" s="93"/>
      <c r="F49" s="93"/>
      <c r="G49" s="93"/>
      <c r="H49" s="94"/>
      <c r="I49" s="72"/>
      <c r="J49" s="93"/>
      <c r="K49" s="93"/>
      <c r="L49" s="93"/>
      <c r="M49" s="94"/>
      <c r="N49" s="72"/>
      <c r="O49" s="93"/>
      <c r="P49" s="93"/>
      <c r="Q49" s="93"/>
      <c r="R49" s="94"/>
      <c r="S49" s="72"/>
      <c r="T49" s="93"/>
      <c r="U49" s="93"/>
      <c r="V49" s="93"/>
      <c r="W49" s="94"/>
      <c r="X49" s="72"/>
      <c r="Y49" s="93"/>
      <c r="Z49" s="93"/>
      <c r="AA49" s="93"/>
      <c r="AB49" s="94"/>
      <c r="AC49" s="72"/>
      <c r="AD49" s="93"/>
      <c r="AE49" s="93"/>
      <c r="AF49" s="93"/>
      <c r="AG49" s="94"/>
      <c r="AH49" s="72"/>
      <c r="AI49" s="93"/>
      <c r="AJ49" s="93"/>
      <c r="AK49" s="93"/>
      <c r="AL49" s="93"/>
      <c r="AM49" s="208" t="s">
        <v>60</v>
      </c>
      <c r="AN49" s="326"/>
      <c r="AO49" s="326"/>
      <c r="AP49" s="326"/>
      <c r="AQ49" s="327"/>
    </row>
    <row r="50" spans="2:44" x14ac:dyDescent="0.2">
      <c r="B50" s="68"/>
      <c r="C50" s="77" t="s">
        <v>59</v>
      </c>
      <c r="D50" s="90"/>
      <c r="E50" s="91"/>
      <c r="F50" s="91"/>
      <c r="G50" s="91"/>
      <c r="H50" s="92"/>
      <c r="I50" s="90"/>
      <c r="J50" s="91"/>
      <c r="K50" s="91"/>
      <c r="L50" s="91"/>
      <c r="M50" s="92"/>
      <c r="N50" s="90"/>
      <c r="O50" s="91"/>
      <c r="P50" s="91"/>
      <c r="Q50" s="91"/>
      <c r="R50" s="92"/>
      <c r="S50" s="90"/>
      <c r="T50" s="91"/>
      <c r="U50" s="91"/>
      <c r="V50" s="91"/>
      <c r="W50" s="92"/>
      <c r="X50" s="90"/>
      <c r="Y50" s="91"/>
      <c r="Z50" s="91"/>
      <c r="AA50" s="91"/>
      <c r="AB50" s="92"/>
      <c r="AC50" s="90"/>
      <c r="AD50" s="91"/>
      <c r="AE50" s="91"/>
      <c r="AF50" s="91"/>
      <c r="AG50" s="92"/>
      <c r="AH50" s="90"/>
      <c r="AI50" s="91"/>
      <c r="AJ50" s="91"/>
      <c r="AK50" s="91"/>
      <c r="AL50" s="91"/>
      <c r="AM50" s="206" t="s">
        <v>59</v>
      </c>
      <c r="AN50" s="392"/>
      <c r="AO50" s="392"/>
      <c r="AP50" s="392"/>
      <c r="AQ50" s="393"/>
    </row>
    <row r="51" spans="2:44" ht="13.5" thickBot="1" x14ac:dyDescent="0.25">
      <c r="B51" s="72"/>
      <c r="C51" s="85" t="s">
        <v>60</v>
      </c>
      <c r="D51" s="72"/>
      <c r="E51" s="93"/>
      <c r="F51" s="93"/>
      <c r="G51" s="93"/>
      <c r="H51" s="94"/>
      <c r="I51" s="72"/>
      <c r="J51" s="93"/>
      <c r="K51" s="93"/>
      <c r="L51" s="93"/>
      <c r="M51" s="94"/>
      <c r="N51" s="72"/>
      <c r="O51" s="93"/>
      <c r="P51" s="93"/>
      <c r="Q51" s="93"/>
      <c r="R51" s="94"/>
      <c r="S51" s="72"/>
      <c r="T51" s="93"/>
      <c r="U51" s="93"/>
      <c r="V51" s="93"/>
      <c r="W51" s="94"/>
      <c r="X51" s="72"/>
      <c r="Y51" s="93"/>
      <c r="Z51" s="93"/>
      <c r="AA51" s="93"/>
      <c r="AB51" s="94"/>
      <c r="AC51" s="72"/>
      <c r="AD51" s="93"/>
      <c r="AE51" s="93"/>
      <c r="AF51" s="93"/>
      <c r="AG51" s="94"/>
      <c r="AH51" s="72"/>
      <c r="AI51" s="93"/>
      <c r="AJ51" s="93"/>
      <c r="AK51" s="93"/>
      <c r="AL51" s="93"/>
      <c r="AM51" s="207" t="s">
        <v>60</v>
      </c>
      <c r="AN51" s="347"/>
      <c r="AO51" s="347"/>
      <c r="AP51" s="347"/>
      <c r="AQ51" s="348"/>
    </row>
    <row r="52" spans="2:44" x14ac:dyDescent="0.2">
      <c r="B52" s="68"/>
      <c r="C52" s="77" t="s">
        <v>59</v>
      </c>
      <c r="D52" s="90"/>
      <c r="E52" s="91"/>
      <c r="F52" s="91"/>
      <c r="G52" s="91"/>
      <c r="H52" s="92"/>
      <c r="I52" s="90"/>
      <c r="J52" s="91"/>
      <c r="K52" s="91"/>
      <c r="L52" s="91"/>
      <c r="M52" s="92"/>
      <c r="N52" s="90"/>
      <c r="O52" s="91"/>
      <c r="P52" s="91"/>
      <c r="Q52" s="91"/>
      <c r="R52" s="92"/>
      <c r="S52" s="90"/>
      <c r="T52" s="91"/>
      <c r="U52" s="91"/>
      <c r="V52" s="91"/>
      <c r="W52" s="92"/>
      <c r="X52" s="90"/>
      <c r="Y52" s="91"/>
      <c r="Z52" s="91"/>
      <c r="AA52" s="91"/>
      <c r="AB52" s="92"/>
      <c r="AC52" s="90"/>
      <c r="AD52" s="91"/>
      <c r="AE52" s="91"/>
      <c r="AF52" s="91"/>
      <c r="AG52" s="92"/>
      <c r="AH52" s="90"/>
      <c r="AI52" s="91"/>
      <c r="AJ52" s="91"/>
      <c r="AK52" s="91"/>
      <c r="AL52" s="91"/>
      <c r="AM52" s="206" t="s">
        <v>59</v>
      </c>
      <c r="AN52" s="392"/>
      <c r="AO52" s="392"/>
      <c r="AP52" s="392"/>
      <c r="AQ52" s="393"/>
    </row>
    <row r="53" spans="2:44" ht="13.5" thickBot="1" x14ac:dyDescent="0.25">
      <c r="B53" s="72"/>
      <c r="C53" s="85" t="s">
        <v>60</v>
      </c>
      <c r="D53" s="72"/>
      <c r="E53" s="93"/>
      <c r="F53" s="93"/>
      <c r="G53" s="93"/>
      <c r="H53" s="94"/>
      <c r="I53" s="72"/>
      <c r="J53" s="93"/>
      <c r="K53" s="93"/>
      <c r="L53" s="93"/>
      <c r="M53" s="94"/>
      <c r="N53" s="72"/>
      <c r="O53" s="93"/>
      <c r="P53" s="93"/>
      <c r="Q53" s="93"/>
      <c r="R53" s="94"/>
      <c r="S53" s="72"/>
      <c r="T53" s="93"/>
      <c r="U53" s="93"/>
      <c r="V53" s="93"/>
      <c r="W53" s="94"/>
      <c r="X53" s="72"/>
      <c r="Y53" s="93"/>
      <c r="Z53" s="93"/>
      <c r="AA53" s="93"/>
      <c r="AB53" s="94"/>
      <c r="AC53" s="72"/>
      <c r="AD53" s="93"/>
      <c r="AE53" s="93"/>
      <c r="AF53" s="93"/>
      <c r="AG53" s="94"/>
      <c r="AH53" s="72"/>
      <c r="AI53" s="93"/>
      <c r="AJ53" s="93"/>
      <c r="AK53" s="93"/>
      <c r="AL53" s="93"/>
      <c r="AM53" s="207" t="s">
        <v>60</v>
      </c>
      <c r="AN53" s="347"/>
      <c r="AO53" s="347"/>
      <c r="AP53" s="347"/>
      <c r="AQ53" s="348"/>
    </row>
    <row r="54" spans="2:44" ht="9.9499999999999993" customHeight="1" x14ac:dyDescent="0.2">
      <c r="B54" s="74"/>
      <c r="C54" s="74"/>
      <c r="D54" s="378" t="s">
        <v>61</v>
      </c>
      <c r="E54" s="379"/>
      <c r="F54" s="380"/>
      <c r="G54" s="384" t="s">
        <v>62</v>
      </c>
      <c r="H54" s="385"/>
      <c r="I54" s="385"/>
      <c r="J54" s="385"/>
      <c r="K54" s="385"/>
      <c r="L54" s="385"/>
      <c r="M54" s="385"/>
      <c r="N54" s="385"/>
      <c r="O54" s="386"/>
      <c r="P54" s="390" t="s">
        <v>56</v>
      </c>
      <c r="Q54" s="390" t="s">
        <v>63</v>
      </c>
      <c r="R54" s="67"/>
      <c r="S54" s="378" t="s">
        <v>61</v>
      </c>
      <c r="T54" s="379"/>
      <c r="U54" s="380"/>
      <c r="V54" s="384" t="s">
        <v>62</v>
      </c>
      <c r="W54" s="385"/>
      <c r="X54" s="385"/>
      <c r="Y54" s="385"/>
      <c r="Z54" s="385"/>
      <c r="AA54" s="385"/>
      <c r="AB54" s="385"/>
      <c r="AC54" s="385"/>
      <c r="AD54" s="386"/>
      <c r="AE54" s="390" t="s">
        <v>56</v>
      </c>
      <c r="AF54" s="390" t="s">
        <v>63</v>
      </c>
      <c r="AG54" s="95"/>
      <c r="AH54" s="96"/>
      <c r="AI54" s="96"/>
      <c r="AJ54" s="96"/>
      <c r="AK54" s="96"/>
      <c r="AL54" s="96"/>
      <c r="AM54" s="114"/>
      <c r="AN54" s="377" t="s">
        <v>1</v>
      </c>
      <c r="AO54" s="377"/>
      <c r="AP54" s="377" t="s">
        <v>2</v>
      </c>
      <c r="AQ54" s="377"/>
      <c r="AR54" s="97"/>
    </row>
    <row r="55" spans="2:44" ht="13.5" thickBot="1" x14ac:dyDescent="0.25">
      <c r="B55" s="74"/>
      <c r="C55" s="74"/>
      <c r="D55" s="381"/>
      <c r="E55" s="382"/>
      <c r="F55" s="383"/>
      <c r="G55" s="387"/>
      <c r="H55" s="388"/>
      <c r="I55" s="388"/>
      <c r="J55" s="388"/>
      <c r="K55" s="388"/>
      <c r="L55" s="388"/>
      <c r="M55" s="388"/>
      <c r="N55" s="388"/>
      <c r="O55" s="389"/>
      <c r="P55" s="391"/>
      <c r="Q55" s="391"/>
      <c r="R55" s="67"/>
      <c r="S55" s="381"/>
      <c r="T55" s="382"/>
      <c r="U55" s="383"/>
      <c r="V55" s="387"/>
      <c r="W55" s="388"/>
      <c r="X55" s="388"/>
      <c r="Y55" s="388"/>
      <c r="Z55" s="388"/>
      <c r="AA55" s="388"/>
      <c r="AB55" s="388"/>
      <c r="AC55" s="388"/>
      <c r="AD55" s="389"/>
      <c r="AE55" s="391"/>
      <c r="AF55" s="391"/>
      <c r="AG55" s="98"/>
      <c r="AH55" s="67"/>
      <c r="AI55" s="99" t="s">
        <v>64</v>
      </c>
      <c r="AJ55" s="99"/>
      <c r="AK55" s="99"/>
      <c r="AL55" s="99"/>
      <c r="AM55" s="99"/>
      <c r="AN55" s="99"/>
      <c r="AO55" s="100"/>
      <c r="AP55" s="100"/>
      <c r="AQ55" s="101"/>
      <c r="AR55" s="97"/>
    </row>
    <row r="56" spans="2:44" ht="13.5" customHeight="1" x14ac:dyDescent="0.2">
      <c r="B56" s="74"/>
      <c r="C56" s="74"/>
      <c r="D56" s="216"/>
      <c r="E56" s="209"/>
      <c r="F56" s="210"/>
      <c r="G56" s="211" t="s">
        <v>65</v>
      </c>
      <c r="H56" s="212"/>
      <c r="I56" s="212"/>
      <c r="J56" s="212"/>
      <c r="K56" s="212"/>
      <c r="L56" s="212"/>
      <c r="M56" s="212"/>
      <c r="N56" s="212"/>
      <c r="O56" s="213"/>
      <c r="P56" s="214"/>
      <c r="Q56" s="214"/>
      <c r="R56" s="215"/>
      <c r="S56" s="216"/>
      <c r="T56" s="209"/>
      <c r="U56" s="210"/>
      <c r="V56" s="211" t="s">
        <v>65</v>
      </c>
      <c r="W56" s="212"/>
      <c r="X56" s="212"/>
      <c r="Y56" s="212"/>
      <c r="Z56" s="212"/>
      <c r="AA56" s="212"/>
      <c r="AB56" s="212"/>
      <c r="AC56" s="212"/>
      <c r="AD56" s="213"/>
      <c r="AE56" s="214"/>
      <c r="AF56" s="214"/>
      <c r="AG56" s="365" t="s">
        <v>83</v>
      </c>
      <c r="AH56" s="366"/>
      <c r="AI56" s="366"/>
      <c r="AJ56" s="367"/>
      <c r="AK56" s="371" t="s">
        <v>66</v>
      </c>
      <c r="AL56" s="372"/>
      <c r="AM56" s="372"/>
      <c r="AN56" s="372"/>
      <c r="AO56" s="372"/>
      <c r="AP56" s="372"/>
      <c r="AQ56" s="373"/>
    </row>
    <row r="57" spans="2:44" ht="13.5" customHeight="1" thickBot="1" x14ac:dyDescent="0.25">
      <c r="B57" s="74"/>
      <c r="C57" s="74"/>
      <c r="D57" s="216"/>
      <c r="E57" s="209"/>
      <c r="F57" s="210"/>
      <c r="G57" s="217">
        <v>2</v>
      </c>
      <c r="H57" s="209"/>
      <c r="I57" s="209"/>
      <c r="J57" s="209"/>
      <c r="K57" s="209"/>
      <c r="L57" s="209"/>
      <c r="M57" s="209"/>
      <c r="N57" s="209"/>
      <c r="O57" s="210"/>
      <c r="P57" s="214"/>
      <c r="Q57" s="214"/>
      <c r="R57" s="215"/>
      <c r="S57" s="216"/>
      <c r="T57" s="209"/>
      <c r="U57" s="210"/>
      <c r="V57" s="217">
        <v>2</v>
      </c>
      <c r="W57" s="209"/>
      <c r="X57" s="209"/>
      <c r="Y57" s="209"/>
      <c r="Z57" s="209"/>
      <c r="AA57" s="209"/>
      <c r="AB57" s="209"/>
      <c r="AC57" s="209"/>
      <c r="AD57" s="210"/>
      <c r="AE57" s="214"/>
      <c r="AF57" s="214"/>
      <c r="AG57" s="368"/>
      <c r="AH57" s="369"/>
      <c r="AI57" s="369"/>
      <c r="AJ57" s="370"/>
      <c r="AK57" s="374"/>
      <c r="AL57" s="375"/>
      <c r="AM57" s="375"/>
      <c r="AN57" s="375"/>
      <c r="AO57" s="375"/>
      <c r="AP57" s="375"/>
      <c r="AQ57" s="376"/>
    </row>
    <row r="58" spans="2:44" ht="13.5" customHeight="1" x14ac:dyDescent="0.2">
      <c r="B58" s="74"/>
      <c r="C58" s="74"/>
      <c r="D58" s="216"/>
      <c r="E58" s="209"/>
      <c r="F58" s="210"/>
      <c r="G58" s="217">
        <v>3</v>
      </c>
      <c r="H58" s="209"/>
      <c r="I58" s="209"/>
      <c r="J58" s="209"/>
      <c r="K58" s="209"/>
      <c r="L58" s="209"/>
      <c r="M58" s="209"/>
      <c r="N58" s="209"/>
      <c r="O58" s="210"/>
      <c r="P58" s="214"/>
      <c r="Q58" s="214"/>
      <c r="R58" s="215"/>
      <c r="S58" s="216"/>
      <c r="T58" s="209"/>
      <c r="U58" s="210"/>
      <c r="V58" s="217">
        <v>3</v>
      </c>
      <c r="W58" s="209"/>
      <c r="X58" s="209"/>
      <c r="Y58" s="209"/>
      <c r="Z58" s="209"/>
      <c r="AA58" s="209"/>
      <c r="AB58" s="209"/>
      <c r="AC58" s="209"/>
      <c r="AD58" s="210"/>
      <c r="AE58" s="214"/>
      <c r="AF58" s="214"/>
      <c r="AG58" s="365" t="s">
        <v>2</v>
      </c>
      <c r="AH58" s="366"/>
      <c r="AI58" s="366"/>
      <c r="AJ58" s="367"/>
      <c r="AK58" s="371" t="s">
        <v>66</v>
      </c>
      <c r="AL58" s="372"/>
      <c r="AM58" s="372"/>
      <c r="AN58" s="372"/>
      <c r="AO58" s="372"/>
      <c r="AP58" s="372"/>
      <c r="AQ58" s="373"/>
    </row>
    <row r="59" spans="2:44" ht="13.5" customHeight="1" thickBot="1" x14ac:dyDescent="0.25">
      <c r="B59" s="74"/>
      <c r="C59" s="74"/>
      <c r="D59" s="216"/>
      <c r="E59" s="209"/>
      <c r="F59" s="210"/>
      <c r="G59" s="217">
        <v>4</v>
      </c>
      <c r="H59" s="209"/>
      <c r="I59" s="209"/>
      <c r="J59" s="209"/>
      <c r="K59" s="209"/>
      <c r="L59" s="209"/>
      <c r="M59" s="209"/>
      <c r="N59" s="209"/>
      <c r="O59" s="210"/>
      <c r="P59" s="214"/>
      <c r="Q59" s="214"/>
      <c r="R59" s="215"/>
      <c r="S59" s="216"/>
      <c r="T59" s="209"/>
      <c r="U59" s="210"/>
      <c r="V59" s="217">
        <v>4</v>
      </c>
      <c r="W59" s="209"/>
      <c r="X59" s="209"/>
      <c r="Y59" s="209"/>
      <c r="Z59" s="209"/>
      <c r="AA59" s="209"/>
      <c r="AB59" s="209"/>
      <c r="AC59" s="209"/>
      <c r="AD59" s="210"/>
      <c r="AE59" s="214"/>
      <c r="AF59" s="214"/>
      <c r="AG59" s="368"/>
      <c r="AH59" s="369"/>
      <c r="AI59" s="369"/>
      <c r="AJ59" s="370"/>
      <c r="AK59" s="374"/>
      <c r="AL59" s="375"/>
      <c r="AM59" s="375"/>
      <c r="AN59" s="375"/>
      <c r="AO59" s="375"/>
      <c r="AP59" s="375"/>
      <c r="AQ59" s="376"/>
    </row>
    <row r="60" spans="2:44" ht="13.5" customHeight="1" x14ac:dyDescent="0.2">
      <c r="B60" s="74"/>
      <c r="C60" s="74"/>
      <c r="D60" s="216"/>
      <c r="E60" s="209"/>
      <c r="F60" s="210"/>
      <c r="G60" s="217">
        <v>5</v>
      </c>
      <c r="H60" s="209"/>
      <c r="I60" s="209"/>
      <c r="J60" s="209"/>
      <c r="K60" s="209"/>
      <c r="L60" s="209"/>
      <c r="M60" s="209"/>
      <c r="N60" s="209"/>
      <c r="O60" s="210"/>
      <c r="P60" s="214"/>
      <c r="Q60" s="214"/>
      <c r="R60" s="215"/>
      <c r="S60" s="216"/>
      <c r="T60" s="209"/>
      <c r="U60" s="210"/>
      <c r="V60" s="217">
        <v>5</v>
      </c>
      <c r="W60" s="209"/>
      <c r="X60" s="209"/>
      <c r="Y60" s="209"/>
      <c r="Z60" s="209"/>
      <c r="AA60" s="209"/>
      <c r="AB60" s="209"/>
      <c r="AC60" s="209"/>
      <c r="AD60" s="210"/>
      <c r="AE60" s="214"/>
      <c r="AF60" s="214"/>
      <c r="AG60" s="102" t="s">
        <v>67</v>
      </c>
      <c r="AH60" s="70"/>
      <c r="AI60" s="70"/>
      <c r="AJ60" s="70"/>
      <c r="AK60" s="70"/>
      <c r="AL60" s="70"/>
      <c r="AM60" s="70"/>
      <c r="AN60" s="70"/>
      <c r="AO60" s="70" t="s">
        <v>68</v>
      </c>
      <c r="AP60" s="70"/>
      <c r="AQ60" s="79"/>
    </row>
    <row r="61" spans="2:44" ht="13.5" customHeight="1" x14ac:dyDescent="0.2">
      <c r="B61" s="74"/>
      <c r="C61" s="74"/>
      <c r="D61" s="216"/>
      <c r="E61" s="209"/>
      <c r="F61" s="210"/>
      <c r="G61" s="217">
        <v>6</v>
      </c>
      <c r="H61" s="209"/>
      <c r="I61" s="209"/>
      <c r="J61" s="209"/>
      <c r="K61" s="209"/>
      <c r="L61" s="209"/>
      <c r="M61" s="209"/>
      <c r="N61" s="209"/>
      <c r="O61" s="210"/>
      <c r="P61" s="214"/>
      <c r="Q61" s="214"/>
      <c r="R61" s="215"/>
      <c r="S61" s="216"/>
      <c r="T61" s="209"/>
      <c r="U61" s="210"/>
      <c r="V61" s="217">
        <v>6</v>
      </c>
      <c r="W61" s="209"/>
      <c r="X61" s="209"/>
      <c r="Y61" s="209"/>
      <c r="Z61" s="209"/>
      <c r="AA61" s="209"/>
      <c r="AB61" s="209"/>
      <c r="AC61" s="209"/>
      <c r="AD61" s="210"/>
      <c r="AE61" s="214"/>
      <c r="AF61" s="214"/>
      <c r="AG61" s="103"/>
      <c r="AH61" s="67"/>
      <c r="AI61" s="67"/>
      <c r="AJ61" s="67"/>
      <c r="AK61" s="67"/>
      <c r="AL61" s="67"/>
      <c r="AM61" s="67"/>
      <c r="AN61" s="67"/>
      <c r="AO61" s="67"/>
      <c r="AP61" s="67"/>
      <c r="AQ61" s="81"/>
    </row>
    <row r="62" spans="2:44" ht="13.5" customHeight="1" thickBot="1" x14ac:dyDescent="0.25">
      <c r="B62" s="74"/>
      <c r="C62" s="74"/>
      <c r="D62" s="216"/>
      <c r="E62" s="209"/>
      <c r="F62" s="210"/>
      <c r="G62" s="217">
        <v>7</v>
      </c>
      <c r="H62" s="209"/>
      <c r="I62" s="209"/>
      <c r="J62" s="209"/>
      <c r="K62" s="209"/>
      <c r="L62" s="209"/>
      <c r="M62" s="209"/>
      <c r="N62" s="209"/>
      <c r="O62" s="210"/>
      <c r="P62" s="214"/>
      <c r="Q62" s="214"/>
      <c r="R62" s="215"/>
      <c r="S62" s="216"/>
      <c r="T62" s="209"/>
      <c r="U62" s="210"/>
      <c r="V62" s="217">
        <v>7</v>
      </c>
      <c r="W62" s="209"/>
      <c r="X62" s="209"/>
      <c r="Y62" s="209"/>
      <c r="Z62" s="209"/>
      <c r="AA62" s="209"/>
      <c r="AB62" s="209"/>
      <c r="AC62" s="209"/>
      <c r="AD62" s="210"/>
      <c r="AE62" s="214"/>
      <c r="AF62" s="214"/>
      <c r="AG62" s="74" t="s">
        <v>69</v>
      </c>
      <c r="AH62" s="67"/>
      <c r="AI62" s="67"/>
      <c r="AJ62" s="67"/>
      <c r="AK62" s="67"/>
      <c r="AL62" s="67"/>
      <c r="AM62" s="67"/>
      <c r="AN62" s="67"/>
      <c r="AO62" s="67"/>
      <c r="AP62" s="67"/>
      <c r="AQ62" s="81"/>
    </row>
    <row r="63" spans="2:44" ht="13.5" customHeight="1" thickBot="1" x14ac:dyDescent="0.25">
      <c r="B63" s="74"/>
      <c r="C63" s="74"/>
      <c r="D63" s="222"/>
      <c r="E63" s="218"/>
      <c r="F63" s="219"/>
      <c r="G63" s="220">
        <v>8</v>
      </c>
      <c r="H63" s="218"/>
      <c r="I63" s="218"/>
      <c r="J63" s="218"/>
      <c r="K63" s="218"/>
      <c r="L63" s="218"/>
      <c r="M63" s="218"/>
      <c r="N63" s="218"/>
      <c r="O63" s="219"/>
      <c r="P63" s="221"/>
      <c r="Q63" s="221"/>
      <c r="R63" s="215"/>
      <c r="S63" s="222"/>
      <c r="T63" s="218"/>
      <c r="U63" s="219"/>
      <c r="V63" s="220">
        <v>8</v>
      </c>
      <c r="W63" s="218"/>
      <c r="X63" s="218"/>
      <c r="Y63" s="218"/>
      <c r="Z63" s="218"/>
      <c r="AA63" s="218"/>
      <c r="AB63" s="218"/>
      <c r="AC63" s="218"/>
      <c r="AD63" s="219"/>
      <c r="AE63" s="221"/>
      <c r="AF63" s="221"/>
      <c r="AG63" s="104" t="s">
        <v>70</v>
      </c>
      <c r="AH63" s="70"/>
      <c r="AI63" s="70"/>
      <c r="AJ63" s="70"/>
      <c r="AK63" s="70"/>
      <c r="AL63" s="70"/>
      <c r="AM63" s="70"/>
      <c r="AN63" s="70"/>
      <c r="AO63" s="70"/>
      <c r="AP63" s="70"/>
      <c r="AQ63" s="79"/>
    </row>
    <row r="64" spans="2:44" ht="13.5" customHeight="1" thickBot="1" x14ac:dyDescent="0.25">
      <c r="B64" s="74"/>
      <c r="C64" s="74"/>
      <c r="D64" s="89"/>
      <c r="E64" s="105"/>
      <c r="F64" s="105"/>
      <c r="G64" s="105"/>
      <c r="H64" s="105"/>
      <c r="I64" s="105"/>
      <c r="J64" s="106" t="s">
        <v>71</v>
      </c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7"/>
      <c r="AG64" s="84" t="s">
        <v>72</v>
      </c>
      <c r="AH64" s="67"/>
      <c r="AI64" s="67"/>
      <c r="AJ64" s="67"/>
      <c r="AK64" s="67"/>
      <c r="AL64" s="67"/>
      <c r="AM64" s="67"/>
      <c r="AN64" s="67"/>
      <c r="AO64" s="67"/>
      <c r="AP64" s="67"/>
      <c r="AQ64" s="81"/>
    </row>
    <row r="65" spans="2:48" ht="13.5" customHeight="1" thickBot="1" x14ac:dyDescent="0.25">
      <c r="B65" s="74"/>
      <c r="C65" s="74"/>
      <c r="D65" s="108" t="s">
        <v>73</v>
      </c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7"/>
      <c r="S65" s="108" t="s">
        <v>74</v>
      </c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7"/>
      <c r="AG65" s="109" t="s">
        <v>75</v>
      </c>
      <c r="AH65" s="110"/>
      <c r="AI65" s="110"/>
      <c r="AJ65" s="110"/>
      <c r="AK65" s="110"/>
      <c r="AL65" s="87"/>
      <c r="AM65" s="111" t="s">
        <v>76</v>
      </c>
      <c r="AN65" s="110"/>
      <c r="AO65" s="110"/>
      <c r="AP65" s="110"/>
      <c r="AQ65" s="87"/>
    </row>
    <row r="66" spans="2:48" ht="17.25" customHeight="1" thickBot="1" x14ac:dyDescent="0.25">
      <c r="B66" s="72"/>
      <c r="C66" s="72"/>
      <c r="D66" s="108" t="s">
        <v>77</v>
      </c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7"/>
      <c r="S66" s="108" t="s">
        <v>6</v>
      </c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7"/>
      <c r="AG66" s="112" t="s">
        <v>78</v>
      </c>
      <c r="AH66" s="73"/>
      <c r="AI66" s="73"/>
      <c r="AJ66" s="73"/>
      <c r="AK66" s="73"/>
      <c r="AL66" s="87"/>
      <c r="AM66" s="113" t="s">
        <v>79</v>
      </c>
      <c r="AN66" s="73"/>
      <c r="AO66" s="73"/>
      <c r="AP66" s="73"/>
      <c r="AQ66" s="87"/>
    </row>
    <row r="67" spans="2:48" ht="15.75" customHeight="1" thickBot="1" x14ac:dyDescent="0.25">
      <c r="AA67" s="67"/>
      <c r="AB67" s="67"/>
      <c r="AC67" s="67"/>
      <c r="AD67" s="67"/>
      <c r="AE67" s="67"/>
      <c r="AF67" s="67"/>
      <c r="AG67" s="67"/>
      <c r="AH67" s="67"/>
    </row>
    <row r="68" spans="2:48" ht="17.25" customHeight="1" x14ac:dyDescent="0.25">
      <c r="B68" s="68"/>
      <c r="C68" s="68"/>
      <c r="D68" s="69" t="s">
        <v>44</v>
      </c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 t="s">
        <v>89</v>
      </c>
      <c r="Z68" s="70"/>
      <c r="AA68" s="70"/>
      <c r="AB68" s="70"/>
      <c r="AC68" s="70"/>
      <c r="AD68" s="70"/>
      <c r="AE68" s="70"/>
      <c r="AF68" s="70"/>
      <c r="AG68" s="70"/>
      <c r="AH68" s="441" t="s">
        <v>45</v>
      </c>
      <c r="AI68" s="442"/>
      <c r="AJ68" s="442"/>
      <c r="AK68" s="442"/>
      <c r="AL68" s="442"/>
      <c r="AM68" s="443">
        <f>IF(($AU$9+2)&gt;$AX$9,"",VLOOKUP($AU$9+2,Spielplan,3,0))</f>
        <v>2.4305555555555552E-2</v>
      </c>
      <c r="AN68" s="443"/>
      <c r="AO68" s="443"/>
      <c r="AP68" s="443"/>
      <c r="AQ68" s="444"/>
    </row>
    <row r="69" spans="2:48" ht="0.75" customHeight="1" thickBot="1" x14ac:dyDescent="0.25">
      <c r="B69" s="72"/>
      <c r="C69" s="72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4"/>
      <c r="AI69" s="67"/>
      <c r="AJ69" s="67"/>
      <c r="AK69" s="67"/>
      <c r="AL69" s="67"/>
      <c r="AM69" s="75"/>
      <c r="AN69" s="75"/>
      <c r="AO69" s="75"/>
      <c r="AP69" s="75"/>
      <c r="AQ69" s="76"/>
    </row>
    <row r="70" spans="2:48" ht="15" x14ac:dyDescent="0.25">
      <c r="B70" s="68"/>
      <c r="C70" s="77"/>
      <c r="D70" s="68"/>
      <c r="E70" s="78" t="s">
        <v>6</v>
      </c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9"/>
      <c r="S70" s="439" t="s">
        <v>46</v>
      </c>
      <c r="T70" s="440"/>
      <c r="U70" s="440"/>
      <c r="V70" s="440"/>
      <c r="W70" s="440"/>
      <c r="X70" s="440"/>
      <c r="Y70" s="366" t="str">
        <f>IF(($AU$9+2)&gt;$AX$9,"","SHTV")</f>
        <v>SHTV</v>
      </c>
      <c r="Z70" s="366"/>
      <c r="AA70" s="366"/>
      <c r="AB70" s="366"/>
      <c r="AC70" s="366"/>
      <c r="AD70" s="366"/>
      <c r="AE70" s="366"/>
      <c r="AF70" s="366"/>
      <c r="AG70" s="366"/>
      <c r="AH70" s="430" t="s">
        <v>47</v>
      </c>
      <c r="AI70" s="431"/>
      <c r="AJ70" s="431"/>
      <c r="AK70" s="431"/>
      <c r="AL70" s="431"/>
      <c r="AM70" s="434">
        <f>IF(($AU$9+2)&gt;$AX$9,"",VLOOKUP($AU$9+2,Spielplan,4,0))</f>
        <v>2</v>
      </c>
      <c r="AN70" s="435"/>
      <c r="AO70" s="435"/>
      <c r="AP70" s="435"/>
      <c r="AQ70" s="436"/>
    </row>
    <row r="71" spans="2:48" ht="9.9499999999999993" customHeight="1" x14ac:dyDescent="0.2">
      <c r="B71" s="74"/>
      <c r="C71" s="80"/>
      <c r="D71" s="74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81"/>
      <c r="S71" s="423"/>
      <c r="T71" s="406"/>
      <c r="U71" s="406"/>
      <c r="V71" s="406"/>
      <c r="W71" s="406"/>
      <c r="X71" s="406"/>
      <c r="Y71" s="425"/>
      <c r="Z71" s="425"/>
      <c r="AA71" s="425"/>
      <c r="AB71" s="425"/>
      <c r="AC71" s="425"/>
      <c r="AD71" s="425"/>
      <c r="AE71" s="425"/>
      <c r="AF71" s="425"/>
      <c r="AG71" s="425"/>
      <c r="AH71" s="432"/>
      <c r="AI71" s="433"/>
      <c r="AJ71" s="433"/>
      <c r="AK71" s="433"/>
      <c r="AL71" s="433"/>
      <c r="AM71" s="437"/>
      <c r="AN71" s="437"/>
      <c r="AO71" s="437"/>
      <c r="AP71" s="437"/>
      <c r="AQ71" s="438"/>
    </row>
    <row r="72" spans="2:48" ht="13.15" customHeight="1" x14ac:dyDescent="0.2">
      <c r="B72" s="74"/>
      <c r="C72" s="80"/>
      <c r="D72" s="74"/>
      <c r="E72" s="67" t="s">
        <v>48</v>
      </c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81"/>
      <c r="S72" s="422" t="s">
        <v>49</v>
      </c>
      <c r="T72" s="406"/>
      <c r="U72" s="406"/>
      <c r="V72" s="406"/>
      <c r="W72" s="406"/>
      <c r="X72" s="406"/>
      <c r="Y72" s="425">
        <f>IF(($AU$9+2)&gt;$AX$9,"",Platzierung!$U$3)</f>
        <v>0</v>
      </c>
      <c r="Z72" s="425"/>
      <c r="AA72" s="425"/>
      <c r="AB72" s="425"/>
      <c r="AC72" s="425"/>
      <c r="AD72" s="425"/>
      <c r="AE72" s="425"/>
      <c r="AF72" s="425"/>
      <c r="AG72" s="425"/>
      <c r="AH72" s="430" t="s">
        <v>50</v>
      </c>
      <c r="AI72" s="431"/>
      <c r="AJ72" s="431"/>
      <c r="AK72" s="431"/>
      <c r="AL72" s="431"/>
      <c r="AM72" s="434">
        <f>IF(($AU$9+2)&gt;$AX$9,"",VLOOKUP($AU$9+2,Spielplan,6,0))</f>
        <v>3</v>
      </c>
      <c r="AN72" s="435"/>
      <c r="AO72" s="435"/>
      <c r="AP72" s="435"/>
      <c r="AQ72" s="436"/>
    </row>
    <row r="73" spans="2:48" ht="9.9499999999999993" customHeight="1" x14ac:dyDescent="0.2">
      <c r="B73" s="74"/>
      <c r="C73" s="80"/>
      <c r="D73" s="74"/>
      <c r="E73" s="67"/>
      <c r="F73" s="67"/>
      <c r="G73" s="67"/>
      <c r="H73" s="67"/>
      <c r="I73" s="67"/>
      <c r="J73" s="82" t="s">
        <v>51</v>
      </c>
      <c r="K73" s="67"/>
      <c r="L73" s="67"/>
      <c r="M73" s="67"/>
      <c r="N73" s="67"/>
      <c r="O73" s="67"/>
      <c r="P73" s="67"/>
      <c r="Q73" s="67"/>
      <c r="R73" s="81"/>
      <c r="S73" s="423"/>
      <c r="T73" s="406"/>
      <c r="U73" s="406"/>
      <c r="V73" s="406"/>
      <c r="W73" s="406"/>
      <c r="X73" s="406"/>
      <c r="Y73" s="425"/>
      <c r="Z73" s="425"/>
      <c r="AA73" s="425"/>
      <c r="AB73" s="425"/>
      <c r="AC73" s="425"/>
      <c r="AD73" s="425"/>
      <c r="AE73" s="425"/>
      <c r="AF73" s="425"/>
      <c r="AG73" s="425"/>
      <c r="AH73" s="432"/>
      <c r="AI73" s="433"/>
      <c r="AJ73" s="433"/>
      <c r="AK73" s="433"/>
      <c r="AL73" s="433"/>
      <c r="AM73" s="437"/>
      <c r="AN73" s="437"/>
      <c r="AO73" s="437"/>
      <c r="AP73" s="437"/>
      <c r="AQ73" s="438"/>
    </row>
    <row r="74" spans="2:48" ht="15.75" customHeight="1" x14ac:dyDescent="0.2">
      <c r="B74" s="74"/>
      <c r="C74" s="80"/>
      <c r="D74" s="418">
        <f>IF(($AU$9+2)&gt;$AX$9,"",VLOOKUP($AU$9+2,Spielplan,10,0))</f>
        <v>0</v>
      </c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20"/>
      <c r="S74" s="422" t="s">
        <v>52</v>
      </c>
      <c r="T74" s="406"/>
      <c r="U74" s="406"/>
      <c r="V74" s="406"/>
      <c r="W74" s="406"/>
      <c r="X74" s="406"/>
      <c r="Y74" s="424">
        <f>IF(($AU$9+2)&gt;$AX$9,"",VLOOKUP($AU$9+2,Spielplan,2,0))</f>
        <v>0</v>
      </c>
      <c r="Z74" s="425"/>
      <c r="AA74" s="425"/>
      <c r="AB74" s="425"/>
      <c r="AC74" s="425"/>
      <c r="AD74" s="425"/>
      <c r="AE74" s="425"/>
      <c r="AF74" s="425"/>
      <c r="AG74" s="425"/>
      <c r="AH74" s="405" t="s">
        <v>53</v>
      </c>
      <c r="AI74" s="406"/>
      <c r="AJ74" s="406"/>
      <c r="AK74" s="406"/>
      <c r="AL74" s="406"/>
      <c r="AM74" s="400">
        <f>IF(($AU$9+2)&gt;$AX$9,"",VLOOKUP($AU$9+2,Spielplan,5,0))</f>
        <v>1</v>
      </c>
      <c r="AN74" s="401"/>
      <c r="AO74" s="401"/>
      <c r="AP74" s="401"/>
      <c r="AQ74" s="402"/>
    </row>
    <row r="75" spans="2:48" ht="11.1" customHeight="1" thickBot="1" x14ac:dyDescent="0.25">
      <c r="B75" s="74"/>
      <c r="C75" s="80"/>
      <c r="D75" s="421"/>
      <c r="E75" s="419"/>
      <c r="F75" s="419"/>
      <c r="G75" s="419"/>
      <c r="H75" s="419"/>
      <c r="I75" s="419"/>
      <c r="J75" s="419"/>
      <c r="K75" s="419"/>
      <c r="L75" s="419"/>
      <c r="M75" s="419"/>
      <c r="N75" s="419"/>
      <c r="O75" s="419"/>
      <c r="P75" s="419"/>
      <c r="Q75" s="419"/>
      <c r="R75" s="420"/>
      <c r="S75" s="423"/>
      <c r="T75" s="406"/>
      <c r="U75" s="406"/>
      <c r="V75" s="406"/>
      <c r="W75" s="406"/>
      <c r="X75" s="406"/>
      <c r="Y75" s="425"/>
      <c r="Z75" s="425"/>
      <c r="AA75" s="425"/>
      <c r="AB75" s="425"/>
      <c r="AC75" s="425"/>
      <c r="AD75" s="425"/>
      <c r="AE75" s="425"/>
      <c r="AF75" s="425"/>
      <c r="AG75" s="425"/>
      <c r="AH75" s="407"/>
      <c r="AI75" s="408"/>
      <c r="AJ75" s="408"/>
      <c r="AK75" s="408"/>
      <c r="AL75" s="408"/>
      <c r="AM75" s="403"/>
      <c r="AN75" s="403"/>
      <c r="AO75" s="403"/>
      <c r="AP75" s="403"/>
      <c r="AQ75" s="404"/>
    </row>
    <row r="76" spans="2:48" ht="11.1" customHeight="1" thickBot="1" x14ac:dyDescent="0.25">
      <c r="B76" s="74"/>
      <c r="C76" s="80"/>
      <c r="D76" s="72"/>
      <c r="E76" s="73"/>
      <c r="F76" s="73"/>
      <c r="G76" s="73"/>
      <c r="H76" s="73"/>
      <c r="I76" s="73"/>
      <c r="J76" s="73" t="s">
        <v>54</v>
      </c>
      <c r="K76" s="73"/>
      <c r="L76" s="73"/>
      <c r="M76" s="73"/>
      <c r="N76" s="73"/>
      <c r="O76" s="67"/>
      <c r="P76" s="67"/>
      <c r="Q76" s="73"/>
      <c r="R76" s="83"/>
      <c r="S76" s="74"/>
      <c r="T76" s="67"/>
      <c r="U76" s="67"/>
      <c r="V76" s="67"/>
      <c r="W76" s="67"/>
      <c r="X76" s="67"/>
      <c r="Y76" s="409"/>
      <c r="Z76" s="409"/>
      <c r="AA76" s="409"/>
      <c r="AB76" s="409"/>
      <c r="AC76" s="409"/>
      <c r="AD76" s="409"/>
      <c r="AE76" s="409"/>
      <c r="AF76" s="410"/>
      <c r="AG76" s="411"/>
      <c r="AH76" s="84" t="s">
        <v>55</v>
      </c>
      <c r="AI76" s="67"/>
      <c r="AJ76" s="67"/>
      <c r="AK76" s="67"/>
      <c r="AL76" s="67"/>
      <c r="AM76" s="67"/>
      <c r="AN76" s="67"/>
      <c r="AO76" s="85"/>
      <c r="AP76" s="67"/>
      <c r="AQ76" s="81"/>
    </row>
    <row r="77" spans="2:48" ht="13.5" customHeight="1" thickBot="1" x14ac:dyDescent="0.3">
      <c r="B77" s="74"/>
      <c r="C77" s="80"/>
      <c r="D77" s="68"/>
      <c r="E77" s="78" t="s">
        <v>8</v>
      </c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412" t="s">
        <v>56</v>
      </c>
      <c r="R77" s="68"/>
      <c r="S77" s="68"/>
      <c r="T77" s="78" t="s">
        <v>7</v>
      </c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9"/>
      <c r="AF77" s="415" t="s">
        <v>56</v>
      </c>
      <c r="AG77" s="74"/>
      <c r="AH77" s="86" t="s">
        <v>57</v>
      </c>
      <c r="AI77" s="73"/>
      <c r="AJ77" s="73"/>
      <c r="AK77" s="73"/>
      <c r="AL77" s="73"/>
      <c r="AM77" s="73"/>
      <c r="AN77" s="73"/>
      <c r="AO77" s="87"/>
      <c r="AP77" s="67"/>
      <c r="AQ77" s="81"/>
    </row>
    <row r="78" spans="2:48" ht="12" customHeight="1" thickBot="1" x14ac:dyDescent="0.25">
      <c r="B78" s="74"/>
      <c r="C78" s="80"/>
      <c r="D78" s="418">
        <f>IF(($AU$9+2)&gt;$AX$9,"",VLOOKUP($AU$9+2,Spielplan,7,0))</f>
        <v>0</v>
      </c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20"/>
      <c r="Q78" s="413"/>
      <c r="R78" s="74"/>
      <c r="S78" s="418">
        <f>IF(($AU$9+2)&gt;$AX$9,"",VLOOKUP($AU$9+2,Spielplan,9,0))</f>
        <v>0</v>
      </c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29"/>
      <c r="AF78" s="416"/>
      <c r="AG78" s="74"/>
      <c r="AH78" s="394" t="s">
        <v>58</v>
      </c>
      <c r="AI78" s="395"/>
      <c r="AJ78" s="395"/>
      <c r="AK78" s="395"/>
      <c r="AL78" s="395"/>
      <c r="AM78" s="396"/>
      <c r="AN78" s="88" t="s">
        <v>59</v>
      </c>
      <c r="AO78" s="89"/>
      <c r="AP78" s="89"/>
      <c r="AQ78" s="87"/>
    </row>
    <row r="79" spans="2:48" ht="12" customHeight="1" thickBot="1" x14ac:dyDescent="0.25">
      <c r="B79" s="72"/>
      <c r="C79" s="85"/>
      <c r="D79" s="426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8"/>
      <c r="Q79" s="414"/>
      <c r="R79" s="72"/>
      <c r="S79" s="426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389"/>
      <c r="AF79" s="417"/>
      <c r="AG79" s="72"/>
      <c r="AH79" s="397"/>
      <c r="AI79" s="398"/>
      <c r="AJ79" s="398"/>
      <c r="AK79" s="398"/>
      <c r="AL79" s="398"/>
      <c r="AM79" s="399"/>
      <c r="AN79" s="88" t="s">
        <v>60</v>
      </c>
      <c r="AO79" s="89"/>
      <c r="AP79" s="89"/>
      <c r="AQ79" s="87"/>
      <c r="AU79" s="53"/>
      <c r="AV79" s="53"/>
    </row>
    <row r="80" spans="2:48" ht="9.9499999999999993" customHeight="1" thickBot="1" x14ac:dyDescent="0.25">
      <c r="B80" s="74"/>
      <c r="C80" s="7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81"/>
      <c r="AU80" s="53"/>
      <c r="AV80" s="53"/>
    </row>
    <row r="81" spans="2:48" x14ac:dyDescent="0.2">
      <c r="B81" s="68"/>
      <c r="C81" s="77" t="s">
        <v>59</v>
      </c>
      <c r="D81" s="90"/>
      <c r="E81" s="91"/>
      <c r="F81" s="91"/>
      <c r="G81" s="91"/>
      <c r="H81" s="92"/>
      <c r="I81" s="90"/>
      <c r="J81" s="91"/>
      <c r="K81" s="91"/>
      <c r="L81" s="91"/>
      <c r="M81" s="92"/>
      <c r="N81" s="90"/>
      <c r="O81" s="91"/>
      <c r="P81" s="91"/>
      <c r="Q81" s="91"/>
      <c r="R81" s="92"/>
      <c r="S81" s="90"/>
      <c r="T81" s="91"/>
      <c r="U81" s="91"/>
      <c r="V81" s="91"/>
      <c r="W81" s="92"/>
      <c r="X81" s="90"/>
      <c r="Y81" s="91"/>
      <c r="Z81" s="91"/>
      <c r="AA81" s="91"/>
      <c r="AB81" s="92"/>
      <c r="AC81" s="90"/>
      <c r="AD81" s="91"/>
      <c r="AE81" s="91"/>
      <c r="AF81" s="91"/>
      <c r="AG81" s="92"/>
      <c r="AH81" s="90"/>
      <c r="AI81" s="91"/>
      <c r="AJ81" s="91"/>
      <c r="AK81" s="91"/>
      <c r="AL81" s="91"/>
      <c r="AM81" s="206" t="s">
        <v>59</v>
      </c>
      <c r="AN81" s="392"/>
      <c r="AO81" s="392"/>
      <c r="AP81" s="392"/>
      <c r="AQ81" s="393"/>
      <c r="AU81" s="53"/>
      <c r="AV81" s="53"/>
    </row>
    <row r="82" spans="2:48" ht="13.5" thickBot="1" x14ac:dyDescent="0.25">
      <c r="B82" s="72"/>
      <c r="C82" s="85" t="s">
        <v>60</v>
      </c>
      <c r="D82" s="72"/>
      <c r="E82" s="93"/>
      <c r="F82" s="93"/>
      <c r="G82" s="93"/>
      <c r="H82" s="94"/>
      <c r="I82" s="72"/>
      <c r="J82" s="93"/>
      <c r="K82" s="93"/>
      <c r="L82" s="93"/>
      <c r="M82" s="94"/>
      <c r="N82" s="72"/>
      <c r="O82" s="93"/>
      <c r="P82" s="93"/>
      <c r="Q82" s="93"/>
      <c r="R82" s="94"/>
      <c r="S82" s="72"/>
      <c r="T82" s="93"/>
      <c r="U82" s="93"/>
      <c r="V82" s="93"/>
      <c r="W82" s="94"/>
      <c r="X82" s="72"/>
      <c r="Y82" s="93"/>
      <c r="Z82" s="93"/>
      <c r="AA82" s="93"/>
      <c r="AB82" s="94"/>
      <c r="AC82" s="72"/>
      <c r="AD82" s="93"/>
      <c r="AE82" s="93"/>
      <c r="AF82" s="93"/>
      <c r="AG82" s="94"/>
      <c r="AH82" s="72"/>
      <c r="AI82" s="93"/>
      <c r="AJ82" s="93"/>
      <c r="AK82" s="93"/>
      <c r="AL82" s="93"/>
      <c r="AM82" s="208" t="s">
        <v>60</v>
      </c>
      <c r="AN82" s="326"/>
      <c r="AO82" s="326"/>
      <c r="AP82" s="326"/>
      <c r="AQ82" s="327"/>
      <c r="AU82" s="53"/>
      <c r="AV82" s="53"/>
    </row>
    <row r="83" spans="2:48" x14ac:dyDescent="0.2">
      <c r="B83" s="68"/>
      <c r="C83" s="77" t="s">
        <v>59</v>
      </c>
      <c r="D83" s="90"/>
      <c r="E83" s="91"/>
      <c r="F83" s="91"/>
      <c r="G83" s="91"/>
      <c r="H83" s="92"/>
      <c r="I83" s="90"/>
      <c r="J83" s="91"/>
      <c r="K83" s="91"/>
      <c r="L83" s="91"/>
      <c r="M83" s="92"/>
      <c r="N83" s="90"/>
      <c r="O83" s="91"/>
      <c r="P83" s="91"/>
      <c r="Q83" s="91"/>
      <c r="R83" s="92"/>
      <c r="S83" s="90"/>
      <c r="T83" s="91"/>
      <c r="U83" s="91"/>
      <c r="V83" s="91"/>
      <c r="W83" s="92"/>
      <c r="X83" s="90"/>
      <c r="Y83" s="91"/>
      <c r="Z83" s="91"/>
      <c r="AA83" s="91"/>
      <c r="AB83" s="92"/>
      <c r="AC83" s="90"/>
      <c r="AD83" s="91"/>
      <c r="AE83" s="91"/>
      <c r="AF83" s="91"/>
      <c r="AG83" s="92"/>
      <c r="AH83" s="90"/>
      <c r="AI83" s="91"/>
      <c r="AJ83" s="91"/>
      <c r="AK83" s="91"/>
      <c r="AL83" s="91"/>
      <c r="AM83" s="206" t="s">
        <v>59</v>
      </c>
      <c r="AN83" s="392"/>
      <c r="AO83" s="392"/>
      <c r="AP83" s="392"/>
      <c r="AQ83" s="393"/>
      <c r="AU83" s="53"/>
      <c r="AV83" s="53"/>
    </row>
    <row r="84" spans="2:48" ht="13.5" thickBot="1" x14ac:dyDescent="0.25">
      <c r="B84" s="72"/>
      <c r="C84" s="85" t="s">
        <v>60</v>
      </c>
      <c r="D84" s="72"/>
      <c r="E84" s="93"/>
      <c r="F84" s="93"/>
      <c r="G84" s="93"/>
      <c r="H84" s="94"/>
      <c r="I84" s="72"/>
      <c r="J84" s="93"/>
      <c r="K84" s="93"/>
      <c r="L84" s="93"/>
      <c r="M84" s="94"/>
      <c r="N84" s="72"/>
      <c r="O84" s="93"/>
      <c r="P84" s="93"/>
      <c r="Q84" s="93"/>
      <c r="R84" s="94"/>
      <c r="S84" s="72"/>
      <c r="T84" s="93"/>
      <c r="U84" s="93"/>
      <c r="V84" s="93"/>
      <c r="W84" s="94"/>
      <c r="X84" s="72"/>
      <c r="Y84" s="93"/>
      <c r="Z84" s="93"/>
      <c r="AA84" s="93"/>
      <c r="AB84" s="94"/>
      <c r="AC84" s="72"/>
      <c r="AD84" s="93"/>
      <c r="AE84" s="93"/>
      <c r="AF84" s="93"/>
      <c r="AG84" s="94"/>
      <c r="AH84" s="72"/>
      <c r="AI84" s="93"/>
      <c r="AJ84" s="93"/>
      <c r="AK84" s="93"/>
      <c r="AL84" s="93"/>
      <c r="AM84" s="207" t="s">
        <v>60</v>
      </c>
      <c r="AN84" s="347"/>
      <c r="AO84" s="347"/>
      <c r="AP84" s="347"/>
      <c r="AQ84" s="348"/>
      <c r="AU84" s="53"/>
      <c r="AV84" s="53"/>
    </row>
    <row r="85" spans="2:48" x14ac:dyDescent="0.2">
      <c r="B85" s="68"/>
      <c r="C85" s="77" t="s">
        <v>59</v>
      </c>
      <c r="D85" s="90"/>
      <c r="E85" s="91"/>
      <c r="F85" s="91"/>
      <c r="G85" s="91"/>
      <c r="H85" s="92"/>
      <c r="I85" s="90"/>
      <c r="J85" s="91"/>
      <c r="K85" s="91"/>
      <c r="L85" s="91"/>
      <c r="M85" s="92"/>
      <c r="N85" s="90"/>
      <c r="O85" s="91"/>
      <c r="P85" s="91"/>
      <c r="Q85" s="91"/>
      <c r="R85" s="92"/>
      <c r="S85" s="90"/>
      <c r="T85" s="91"/>
      <c r="U85" s="91"/>
      <c r="V85" s="91"/>
      <c r="W85" s="92"/>
      <c r="X85" s="90"/>
      <c r="Y85" s="91"/>
      <c r="Z85" s="91"/>
      <c r="AA85" s="91"/>
      <c r="AB85" s="92"/>
      <c r="AC85" s="90"/>
      <c r="AD85" s="91"/>
      <c r="AE85" s="91"/>
      <c r="AF85" s="91"/>
      <c r="AG85" s="92"/>
      <c r="AH85" s="90"/>
      <c r="AI85" s="91"/>
      <c r="AJ85" s="91"/>
      <c r="AK85" s="91"/>
      <c r="AL85" s="91"/>
      <c r="AM85" s="206" t="s">
        <v>59</v>
      </c>
      <c r="AN85" s="392"/>
      <c r="AO85" s="392"/>
      <c r="AP85" s="392"/>
      <c r="AQ85" s="393"/>
      <c r="AU85" s="53"/>
      <c r="AV85" s="53"/>
    </row>
    <row r="86" spans="2:48" ht="13.5" thickBot="1" x14ac:dyDescent="0.25">
      <c r="B86" s="72"/>
      <c r="C86" s="85" t="s">
        <v>60</v>
      </c>
      <c r="D86" s="72"/>
      <c r="E86" s="93"/>
      <c r="F86" s="93"/>
      <c r="G86" s="93"/>
      <c r="H86" s="94"/>
      <c r="I86" s="72"/>
      <c r="J86" s="93"/>
      <c r="K86" s="93"/>
      <c r="L86" s="93"/>
      <c r="M86" s="94"/>
      <c r="N86" s="72"/>
      <c r="O86" s="93"/>
      <c r="P86" s="93"/>
      <c r="Q86" s="93"/>
      <c r="R86" s="94"/>
      <c r="S86" s="72"/>
      <c r="T86" s="93"/>
      <c r="U86" s="93"/>
      <c r="V86" s="93"/>
      <c r="W86" s="94"/>
      <c r="X86" s="72"/>
      <c r="Y86" s="93"/>
      <c r="Z86" s="93"/>
      <c r="AA86" s="93"/>
      <c r="AB86" s="94"/>
      <c r="AC86" s="72"/>
      <c r="AD86" s="93"/>
      <c r="AE86" s="93"/>
      <c r="AF86" s="93"/>
      <c r="AG86" s="94"/>
      <c r="AH86" s="72"/>
      <c r="AI86" s="93"/>
      <c r="AJ86" s="93"/>
      <c r="AK86" s="93"/>
      <c r="AL86" s="93"/>
      <c r="AM86" s="207" t="s">
        <v>60</v>
      </c>
      <c r="AN86" s="347"/>
      <c r="AO86" s="347"/>
      <c r="AP86" s="347"/>
      <c r="AQ86" s="348"/>
      <c r="AU86" s="53"/>
      <c r="AV86" s="53"/>
    </row>
    <row r="87" spans="2:48" ht="9.9499999999999993" customHeight="1" x14ac:dyDescent="0.2">
      <c r="B87" s="74"/>
      <c r="C87" s="74"/>
      <c r="D87" s="378" t="s">
        <v>61</v>
      </c>
      <c r="E87" s="379"/>
      <c r="F87" s="380"/>
      <c r="G87" s="384" t="s">
        <v>62</v>
      </c>
      <c r="H87" s="385"/>
      <c r="I87" s="385"/>
      <c r="J87" s="385"/>
      <c r="K87" s="385"/>
      <c r="L87" s="385"/>
      <c r="M87" s="385"/>
      <c r="N87" s="385"/>
      <c r="O87" s="386"/>
      <c r="P87" s="390" t="s">
        <v>56</v>
      </c>
      <c r="Q87" s="390" t="s">
        <v>63</v>
      </c>
      <c r="R87" s="67"/>
      <c r="S87" s="378" t="s">
        <v>61</v>
      </c>
      <c r="T87" s="379"/>
      <c r="U87" s="380"/>
      <c r="V87" s="384" t="s">
        <v>62</v>
      </c>
      <c r="W87" s="385"/>
      <c r="X87" s="385"/>
      <c r="Y87" s="385"/>
      <c r="Z87" s="385"/>
      <c r="AA87" s="385"/>
      <c r="AB87" s="385"/>
      <c r="AC87" s="385"/>
      <c r="AD87" s="386"/>
      <c r="AE87" s="390" t="s">
        <v>56</v>
      </c>
      <c r="AF87" s="390" t="s">
        <v>63</v>
      </c>
      <c r="AG87" s="95"/>
      <c r="AH87" s="96"/>
      <c r="AI87" s="96"/>
      <c r="AJ87" s="96"/>
      <c r="AK87" s="96"/>
      <c r="AL87" s="96"/>
      <c r="AM87" s="114"/>
      <c r="AN87" s="377" t="s">
        <v>1</v>
      </c>
      <c r="AO87" s="377"/>
      <c r="AP87" s="377" t="s">
        <v>2</v>
      </c>
      <c r="AQ87" s="377"/>
      <c r="AR87" s="97"/>
      <c r="AU87" s="53"/>
      <c r="AV87" s="53"/>
    </row>
    <row r="88" spans="2:48" ht="13.5" thickBot="1" x14ac:dyDescent="0.25">
      <c r="B88" s="74"/>
      <c r="C88" s="74"/>
      <c r="D88" s="381"/>
      <c r="E88" s="382"/>
      <c r="F88" s="383"/>
      <c r="G88" s="387"/>
      <c r="H88" s="388"/>
      <c r="I88" s="388"/>
      <c r="J88" s="388"/>
      <c r="K88" s="388"/>
      <c r="L88" s="388"/>
      <c r="M88" s="388"/>
      <c r="N88" s="388"/>
      <c r="O88" s="389"/>
      <c r="P88" s="391"/>
      <c r="Q88" s="391"/>
      <c r="R88" s="67"/>
      <c r="S88" s="381"/>
      <c r="T88" s="382"/>
      <c r="U88" s="383"/>
      <c r="V88" s="387"/>
      <c r="W88" s="388"/>
      <c r="X88" s="388"/>
      <c r="Y88" s="388"/>
      <c r="Z88" s="388"/>
      <c r="AA88" s="388"/>
      <c r="AB88" s="388"/>
      <c r="AC88" s="388"/>
      <c r="AD88" s="389"/>
      <c r="AE88" s="391"/>
      <c r="AF88" s="391"/>
      <c r="AG88" s="98"/>
      <c r="AH88" s="67"/>
      <c r="AI88" s="99" t="s">
        <v>64</v>
      </c>
      <c r="AJ88" s="99"/>
      <c r="AK88" s="99"/>
      <c r="AL88" s="99"/>
      <c r="AM88" s="99"/>
      <c r="AN88" s="99"/>
      <c r="AO88" s="100"/>
      <c r="AP88" s="100"/>
      <c r="AQ88" s="101"/>
      <c r="AR88" s="97"/>
      <c r="AU88" s="53"/>
      <c r="AV88" s="53"/>
    </row>
    <row r="89" spans="2:48" ht="13.5" customHeight="1" x14ac:dyDescent="0.2">
      <c r="B89" s="74"/>
      <c r="C89" s="74"/>
      <c r="D89" s="216"/>
      <c r="E89" s="209"/>
      <c r="F89" s="210"/>
      <c r="G89" s="211" t="s">
        <v>65</v>
      </c>
      <c r="H89" s="212"/>
      <c r="I89" s="212"/>
      <c r="J89" s="212"/>
      <c r="K89" s="212"/>
      <c r="L89" s="212"/>
      <c r="M89" s="212"/>
      <c r="N89" s="212"/>
      <c r="O89" s="213"/>
      <c r="P89" s="214"/>
      <c r="Q89" s="214"/>
      <c r="R89" s="215"/>
      <c r="S89" s="216"/>
      <c r="T89" s="209"/>
      <c r="U89" s="210"/>
      <c r="V89" s="211" t="s">
        <v>65</v>
      </c>
      <c r="W89" s="212"/>
      <c r="X89" s="212"/>
      <c r="Y89" s="212"/>
      <c r="Z89" s="212"/>
      <c r="AA89" s="212"/>
      <c r="AB89" s="212"/>
      <c r="AC89" s="212"/>
      <c r="AD89" s="213"/>
      <c r="AE89" s="214"/>
      <c r="AF89" s="214"/>
      <c r="AG89" s="365" t="s">
        <v>83</v>
      </c>
      <c r="AH89" s="366"/>
      <c r="AI89" s="366"/>
      <c r="AJ89" s="367"/>
      <c r="AK89" s="371" t="s">
        <v>66</v>
      </c>
      <c r="AL89" s="372"/>
      <c r="AM89" s="372"/>
      <c r="AN89" s="372"/>
      <c r="AO89" s="372"/>
      <c r="AP89" s="372"/>
      <c r="AQ89" s="373"/>
      <c r="AU89" s="53"/>
      <c r="AV89" s="53"/>
    </row>
    <row r="90" spans="2:48" ht="13.5" customHeight="1" thickBot="1" x14ac:dyDescent="0.25">
      <c r="B90" s="74"/>
      <c r="C90" s="74"/>
      <c r="D90" s="216"/>
      <c r="E90" s="209"/>
      <c r="F90" s="210"/>
      <c r="G90" s="217">
        <v>2</v>
      </c>
      <c r="H90" s="209"/>
      <c r="I90" s="209"/>
      <c r="J90" s="209"/>
      <c r="K90" s="209"/>
      <c r="L90" s="209"/>
      <c r="M90" s="209"/>
      <c r="N90" s="209"/>
      <c r="O90" s="210"/>
      <c r="P90" s="214"/>
      <c r="Q90" s="214"/>
      <c r="R90" s="215"/>
      <c r="S90" s="216"/>
      <c r="T90" s="209"/>
      <c r="U90" s="210"/>
      <c r="V90" s="217">
        <v>2</v>
      </c>
      <c r="W90" s="209"/>
      <c r="X90" s="209"/>
      <c r="Y90" s="209"/>
      <c r="Z90" s="209"/>
      <c r="AA90" s="209"/>
      <c r="AB90" s="209"/>
      <c r="AC90" s="209"/>
      <c r="AD90" s="210"/>
      <c r="AE90" s="214"/>
      <c r="AF90" s="214"/>
      <c r="AG90" s="368"/>
      <c r="AH90" s="369"/>
      <c r="AI90" s="369"/>
      <c r="AJ90" s="370"/>
      <c r="AK90" s="374"/>
      <c r="AL90" s="375"/>
      <c r="AM90" s="375"/>
      <c r="AN90" s="375"/>
      <c r="AO90" s="375"/>
      <c r="AP90" s="375"/>
      <c r="AQ90" s="376"/>
      <c r="AU90" s="53"/>
      <c r="AV90" s="53"/>
    </row>
    <row r="91" spans="2:48" ht="13.5" customHeight="1" x14ac:dyDescent="0.2">
      <c r="B91" s="74"/>
      <c r="C91" s="74"/>
      <c r="D91" s="216"/>
      <c r="E91" s="209"/>
      <c r="F91" s="210"/>
      <c r="G91" s="217">
        <v>3</v>
      </c>
      <c r="H91" s="209"/>
      <c r="I91" s="209"/>
      <c r="J91" s="209"/>
      <c r="K91" s="209"/>
      <c r="L91" s="209"/>
      <c r="M91" s="209"/>
      <c r="N91" s="209"/>
      <c r="O91" s="210"/>
      <c r="P91" s="214"/>
      <c r="Q91" s="214"/>
      <c r="R91" s="215"/>
      <c r="S91" s="216"/>
      <c r="T91" s="209"/>
      <c r="U91" s="210"/>
      <c r="V91" s="217">
        <v>3</v>
      </c>
      <c r="W91" s="209"/>
      <c r="X91" s="209"/>
      <c r="Y91" s="209"/>
      <c r="Z91" s="209"/>
      <c r="AA91" s="209"/>
      <c r="AB91" s="209"/>
      <c r="AC91" s="209"/>
      <c r="AD91" s="210"/>
      <c r="AE91" s="214"/>
      <c r="AF91" s="214"/>
      <c r="AG91" s="365" t="s">
        <v>2</v>
      </c>
      <c r="AH91" s="366"/>
      <c r="AI91" s="366"/>
      <c r="AJ91" s="367"/>
      <c r="AK91" s="371" t="s">
        <v>66</v>
      </c>
      <c r="AL91" s="372"/>
      <c r="AM91" s="372"/>
      <c r="AN91" s="372"/>
      <c r="AO91" s="372"/>
      <c r="AP91" s="372"/>
      <c r="AQ91" s="373"/>
      <c r="AU91" s="53"/>
      <c r="AV91" s="53"/>
    </row>
    <row r="92" spans="2:48" ht="13.5" customHeight="1" thickBot="1" x14ac:dyDescent="0.25">
      <c r="B92" s="74"/>
      <c r="C92" s="74"/>
      <c r="D92" s="216"/>
      <c r="E92" s="209"/>
      <c r="F92" s="210"/>
      <c r="G92" s="217">
        <v>4</v>
      </c>
      <c r="H92" s="209"/>
      <c r="I92" s="209"/>
      <c r="J92" s="209"/>
      <c r="K92" s="209"/>
      <c r="L92" s="209"/>
      <c r="M92" s="209"/>
      <c r="N92" s="209"/>
      <c r="O92" s="210"/>
      <c r="P92" s="214"/>
      <c r="Q92" s="214"/>
      <c r="R92" s="215"/>
      <c r="S92" s="216"/>
      <c r="T92" s="209"/>
      <c r="U92" s="210"/>
      <c r="V92" s="217">
        <v>4</v>
      </c>
      <c r="W92" s="209"/>
      <c r="X92" s="209"/>
      <c r="Y92" s="209"/>
      <c r="Z92" s="209"/>
      <c r="AA92" s="209"/>
      <c r="AB92" s="209"/>
      <c r="AC92" s="209"/>
      <c r="AD92" s="210"/>
      <c r="AE92" s="214"/>
      <c r="AF92" s="214"/>
      <c r="AG92" s="368"/>
      <c r="AH92" s="369"/>
      <c r="AI92" s="369"/>
      <c r="AJ92" s="370"/>
      <c r="AK92" s="374"/>
      <c r="AL92" s="375"/>
      <c r="AM92" s="375"/>
      <c r="AN92" s="375"/>
      <c r="AO92" s="375"/>
      <c r="AP92" s="375"/>
      <c r="AQ92" s="376"/>
      <c r="AU92" s="53"/>
      <c r="AV92" s="53"/>
    </row>
    <row r="93" spans="2:48" ht="13.5" customHeight="1" x14ac:dyDescent="0.2">
      <c r="B93" s="74"/>
      <c r="C93" s="74"/>
      <c r="D93" s="216"/>
      <c r="E93" s="209"/>
      <c r="F93" s="210"/>
      <c r="G93" s="217">
        <v>5</v>
      </c>
      <c r="H93" s="209"/>
      <c r="I93" s="209"/>
      <c r="J93" s="209"/>
      <c r="K93" s="209"/>
      <c r="L93" s="209"/>
      <c r="M93" s="209"/>
      <c r="N93" s="209"/>
      <c r="O93" s="210"/>
      <c r="P93" s="214"/>
      <c r="Q93" s="214"/>
      <c r="R93" s="215"/>
      <c r="S93" s="216"/>
      <c r="T93" s="209"/>
      <c r="U93" s="210"/>
      <c r="V93" s="217">
        <v>5</v>
      </c>
      <c r="W93" s="209"/>
      <c r="X93" s="209"/>
      <c r="Y93" s="209"/>
      <c r="Z93" s="209"/>
      <c r="AA93" s="209"/>
      <c r="AB93" s="209"/>
      <c r="AC93" s="209"/>
      <c r="AD93" s="210"/>
      <c r="AE93" s="214"/>
      <c r="AF93" s="214"/>
      <c r="AG93" s="102" t="s">
        <v>67</v>
      </c>
      <c r="AH93" s="70"/>
      <c r="AI93" s="70"/>
      <c r="AJ93" s="70"/>
      <c r="AK93" s="70"/>
      <c r="AL93" s="70"/>
      <c r="AM93" s="70"/>
      <c r="AN93" s="70"/>
      <c r="AO93" s="70" t="s">
        <v>68</v>
      </c>
      <c r="AP93" s="70"/>
      <c r="AQ93" s="79"/>
      <c r="AU93" s="53"/>
      <c r="AV93" s="53"/>
    </row>
    <row r="94" spans="2:48" ht="13.5" customHeight="1" x14ac:dyDescent="0.2">
      <c r="B94" s="74"/>
      <c r="C94" s="74"/>
      <c r="D94" s="216"/>
      <c r="E94" s="209"/>
      <c r="F94" s="210"/>
      <c r="G94" s="217">
        <v>6</v>
      </c>
      <c r="H94" s="209"/>
      <c r="I94" s="209"/>
      <c r="J94" s="209"/>
      <c r="K94" s="209"/>
      <c r="L94" s="209"/>
      <c r="M94" s="209"/>
      <c r="N94" s="209"/>
      <c r="O94" s="210"/>
      <c r="P94" s="214"/>
      <c r="Q94" s="214"/>
      <c r="R94" s="215"/>
      <c r="S94" s="216"/>
      <c r="T94" s="209"/>
      <c r="U94" s="210"/>
      <c r="V94" s="217">
        <v>6</v>
      </c>
      <c r="W94" s="209"/>
      <c r="X94" s="209"/>
      <c r="Y94" s="209"/>
      <c r="Z94" s="209"/>
      <c r="AA94" s="209"/>
      <c r="AB94" s="209"/>
      <c r="AC94" s="209"/>
      <c r="AD94" s="210"/>
      <c r="AE94" s="214"/>
      <c r="AF94" s="214"/>
      <c r="AG94" s="103"/>
      <c r="AH94" s="67"/>
      <c r="AI94" s="67"/>
      <c r="AJ94" s="67"/>
      <c r="AK94" s="67"/>
      <c r="AL94" s="67"/>
      <c r="AM94" s="67"/>
      <c r="AN94" s="67"/>
      <c r="AO94" s="67"/>
      <c r="AP94" s="67"/>
      <c r="AQ94" s="81"/>
      <c r="AU94" s="53"/>
      <c r="AV94" s="53"/>
    </row>
    <row r="95" spans="2:48" ht="13.5" customHeight="1" thickBot="1" x14ac:dyDescent="0.25">
      <c r="B95" s="74"/>
      <c r="C95" s="74"/>
      <c r="D95" s="216"/>
      <c r="E95" s="209"/>
      <c r="F95" s="210"/>
      <c r="G95" s="217">
        <v>7</v>
      </c>
      <c r="H95" s="209"/>
      <c r="I95" s="209"/>
      <c r="J95" s="209"/>
      <c r="K95" s="209"/>
      <c r="L95" s="209"/>
      <c r="M95" s="209"/>
      <c r="N95" s="209"/>
      <c r="O95" s="210"/>
      <c r="P95" s="214"/>
      <c r="Q95" s="214"/>
      <c r="R95" s="215"/>
      <c r="S95" s="216"/>
      <c r="T95" s="209"/>
      <c r="U95" s="210"/>
      <c r="V95" s="217">
        <v>7</v>
      </c>
      <c r="W95" s="209"/>
      <c r="X95" s="209"/>
      <c r="Y95" s="209"/>
      <c r="Z95" s="209"/>
      <c r="AA95" s="209"/>
      <c r="AB95" s="209"/>
      <c r="AC95" s="209"/>
      <c r="AD95" s="210"/>
      <c r="AE95" s="214"/>
      <c r="AF95" s="214"/>
      <c r="AG95" s="74" t="s">
        <v>69</v>
      </c>
      <c r="AH95" s="67"/>
      <c r="AI95" s="67"/>
      <c r="AJ95" s="67"/>
      <c r="AK95" s="67"/>
      <c r="AL95" s="67"/>
      <c r="AM95" s="67"/>
      <c r="AN95" s="67"/>
      <c r="AO95" s="67"/>
      <c r="AP95" s="67"/>
      <c r="AQ95" s="81"/>
    </row>
    <row r="96" spans="2:48" ht="13.5" customHeight="1" thickBot="1" x14ac:dyDescent="0.25">
      <c r="B96" s="74"/>
      <c r="C96" s="74"/>
      <c r="D96" s="222"/>
      <c r="E96" s="218"/>
      <c r="F96" s="219"/>
      <c r="G96" s="220">
        <v>8</v>
      </c>
      <c r="H96" s="218"/>
      <c r="I96" s="218"/>
      <c r="J96" s="218"/>
      <c r="K96" s="218"/>
      <c r="L96" s="218"/>
      <c r="M96" s="218"/>
      <c r="N96" s="218"/>
      <c r="O96" s="219"/>
      <c r="P96" s="221"/>
      <c r="Q96" s="221"/>
      <c r="R96" s="215"/>
      <c r="S96" s="222"/>
      <c r="T96" s="218"/>
      <c r="U96" s="219"/>
      <c r="V96" s="220">
        <v>8</v>
      </c>
      <c r="W96" s="218"/>
      <c r="X96" s="218"/>
      <c r="Y96" s="218"/>
      <c r="Z96" s="218"/>
      <c r="AA96" s="218"/>
      <c r="AB96" s="218"/>
      <c r="AC96" s="218"/>
      <c r="AD96" s="219"/>
      <c r="AE96" s="221"/>
      <c r="AF96" s="221"/>
      <c r="AG96" s="104" t="s">
        <v>70</v>
      </c>
      <c r="AH96" s="70"/>
      <c r="AI96" s="70"/>
      <c r="AJ96" s="70"/>
      <c r="AK96" s="70"/>
      <c r="AL96" s="70"/>
      <c r="AM96" s="70"/>
      <c r="AN96" s="70"/>
      <c r="AO96" s="70"/>
      <c r="AP96" s="70"/>
      <c r="AQ96" s="79"/>
    </row>
    <row r="97" spans="2:43" ht="13.5" customHeight="1" thickBot="1" x14ac:dyDescent="0.25">
      <c r="B97" s="74"/>
      <c r="C97" s="74"/>
      <c r="D97" s="89"/>
      <c r="E97" s="105"/>
      <c r="F97" s="105"/>
      <c r="G97" s="105"/>
      <c r="H97" s="105"/>
      <c r="I97" s="105"/>
      <c r="J97" s="106" t="s">
        <v>71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7"/>
      <c r="AG97" s="84" t="s">
        <v>72</v>
      </c>
      <c r="AH97" s="67"/>
      <c r="AI97" s="67"/>
      <c r="AJ97" s="67"/>
      <c r="AK97" s="67"/>
      <c r="AL97" s="67"/>
      <c r="AM97" s="67"/>
      <c r="AN97" s="67"/>
      <c r="AO97" s="67"/>
      <c r="AP97" s="67"/>
      <c r="AQ97" s="81"/>
    </row>
    <row r="98" spans="2:43" ht="13.5" customHeight="1" thickBot="1" x14ac:dyDescent="0.25">
      <c r="B98" s="74"/>
      <c r="C98" s="74"/>
      <c r="D98" s="108" t="s">
        <v>73</v>
      </c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7"/>
      <c r="S98" s="108" t="s">
        <v>74</v>
      </c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7"/>
      <c r="AG98" s="109" t="s">
        <v>75</v>
      </c>
      <c r="AH98" s="110"/>
      <c r="AI98" s="110"/>
      <c r="AJ98" s="110"/>
      <c r="AK98" s="110"/>
      <c r="AL98" s="87"/>
      <c r="AM98" s="111" t="s">
        <v>76</v>
      </c>
      <c r="AN98" s="110"/>
      <c r="AO98" s="110"/>
      <c r="AP98" s="110"/>
      <c r="AQ98" s="87"/>
    </row>
    <row r="99" spans="2:43" ht="17.25" customHeight="1" thickBot="1" x14ac:dyDescent="0.25">
      <c r="B99" s="86"/>
      <c r="C99" s="72"/>
      <c r="D99" s="108" t="s">
        <v>77</v>
      </c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7"/>
      <c r="S99" s="108" t="s">
        <v>6</v>
      </c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7"/>
      <c r="AG99" s="112" t="s">
        <v>78</v>
      </c>
      <c r="AH99" s="73"/>
      <c r="AI99" s="73"/>
      <c r="AJ99" s="73"/>
      <c r="AK99" s="73"/>
      <c r="AL99" s="87"/>
      <c r="AM99" s="113" t="s">
        <v>79</v>
      </c>
      <c r="AN99" s="73"/>
      <c r="AO99" s="73"/>
      <c r="AP99" s="73"/>
      <c r="AQ99" s="87"/>
    </row>
    <row r="100" spans="2:43" ht="15.95" customHeight="1" thickBot="1" x14ac:dyDescent="0.25"/>
    <row r="101" spans="2:43" ht="17.25" customHeight="1" x14ac:dyDescent="0.25">
      <c r="B101" s="68"/>
      <c r="C101" s="68"/>
      <c r="D101" s="69" t="s">
        <v>44</v>
      </c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1" t="s">
        <v>89</v>
      </c>
      <c r="Z101" s="70"/>
      <c r="AA101" s="70"/>
      <c r="AB101" s="70"/>
      <c r="AC101" s="70"/>
      <c r="AD101" s="70"/>
      <c r="AE101" s="70"/>
      <c r="AF101" s="70"/>
      <c r="AG101" s="70"/>
      <c r="AH101" s="441" t="s">
        <v>45</v>
      </c>
      <c r="AI101" s="442"/>
      <c r="AJ101" s="442"/>
      <c r="AK101" s="442"/>
      <c r="AL101" s="442"/>
      <c r="AM101" s="443">
        <f>IF(($AU$9+3)&gt;$AX$9,"",VLOOKUP($AU$9+3,Spielplan,3,0))</f>
        <v>4.8611111111111105E-2</v>
      </c>
      <c r="AN101" s="443"/>
      <c r="AO101" s="443"/>
      <c r="AP101" s="443"/>
      <c r="AQ101" s="444"/>
    </row>
    <row r="102" spans="2:43" ht="0.75" customHeight="1" thickBot="1" x14ac:dyDescent="0.25">
      <c r="B102" s="72"/>
      <c r="C102" s="72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4"/>
      <c r="AI102" s="67"/>
      <c r="AJ102" s="67"/>
      <c r="AK102" s="67"/>
      <c r="AL102" s="67"/>
      <c r="AM102" s="75"/>
      <c r="AN102" s="75"/>
      <c r="AO102" s="75"/>
      <c r="AP102" s="75"/>
      <c r="AQ102" s="76"/>
    </row>
    <row r="103" spans="2:43" ht="15" x14ac:dyDescent="0.25">
      <c r="B103" s="68"/>
      <c r="C103" s="77"/>
      <c r="D103" s="68"/>
      <c r="E103" s="78" t="s">
        <v>6</v>
      </c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9"/>
      <c r="S103" s="439" t="s">
        <v>46</v>
      </c>
      <c r="T103" s="440"/>
      <c r="U103" s="440"/>
      <c r="V103" s="440"/>
      <c r="W103" s="440"/>
      <c r="X103" s="440"/>
      <c r="Y103" s="366" t="str">
        <f>IF(($AU$9+3)&gt;$AX$9,"","SHTV")</f>
        <v>SHTV</v>
      </c>
      <c r="Z103" s="366"/>
      <c r="AA103" s="366"/>
      <c r="AB103" s="366"/>
      <c r="AC103" s="366"/>
      <c r="AD103" s="366"/>
      <c r="AE103" s="366"/>
      <c r="AF103" s="366"/>
      <c r="AG103" s="366"/>
      <c r="AH103" s="430" t="s">
        <v>47</v>
      </c>
      <c r="AI103" s="431"/>
      <c r="AJ103" s="431"/>
      <c r="AK103" s="431"/>
      <c r="AL103" s="431"/>
      <c r="AM103" s="434">
        <f>IF(($AU$9+3)&gt;$AX$9,"",VLOOKUP($AU$9+3,Spielplan,4,0))</f>
        <v>3</v>
      </c>
      <c r="AN103" s="435"/>
      <c r="AO103" s="435"/>
      <c r="AP103" s="435"/>
      <c r="AQ103" s="436"/>
    </row>
    <row r="104" spans="2:43" ht="9.9499999999999993" customHeight="1" x14ac:dyDescent="0.2">
      <c r="B104" s="74"/>
      <c r="C104" s="80"/>
      <c r="D104" s="74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81"/>
      <c r="S104" s="423"/>
      <c r="T104" s="406"/>
      <c r="U104" s="406"/>
      <c r="V104" s="406"/>
      <c r="W104" s="406"/>
      <c r="X104" s="406"/>
      <c r="Y104" s="425"/>
      <c r="Z104" s="425"/>
      <c r="AA104" s="425"/>
      <c r="AB104" s="425"/>
      <c r="AC104" s="425"/>
      <c r="AD104" s="425"/>
      <c r="AE104" s="425"/>
      <c r="AF104" s="425"/>
      <c r="AG104" s="425"/>
      <c r="AH104" s="432"/>
      <c r="AI104" s="433"/>
      <c r="AJ104" s="433"/>
      <c r="AK104" s="433"/>
      <c r="AL104" s="433"/>
      <c r="AM104" s="437"/>
      <c r="AN104" s="437"/>
      <c r="AO104" s="437"/>
      <c r="AP104" s="437"/>
      <c r="AQ104" s="438"/>
    </row>
    <row r="105" spans="2:43" ht="13.15" customHeight="1" x14ac:dyDescent="0.2">
      <c r="B105" s="74"/>
      <c r="C105" s="80"/>
      <c r="D105" s="74"/>
      <c r="E105" s="67" t="s">
        <v>48</v>
      </c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81"/>
      <c r="S105" s="422" t="s">
        <v>49</v>
      </c>
      <c r="T105" s="406"/>
      <c r="U105" s="406"/>
      <c r="V105" s="406"/>
      <c r="W105" s="406"/>
      <c r="X105" s="406"/>
      <c r="Y105" s="425">
        <f>IF(($AU$9+3)&gt;$AX$9,"",Platzierung!$U$3)</f>
        <v>0</v>
      </c>
      <c r="Z105" s="425"/>
      <c r="AA105" s="425"/>
      <c r="AB105" s="425"/>
      <c r="AC105" s="425"/>
      <c r="AD105" s="425"/>
      <c r="AE105" s="425"/>
      <c r="AF105" s="425"/>
      <c r="AG105" s="425"/>
      <c r="AH105" s="430" t="s">
        <v>50</v>
      </c>
      <c r="AI105" s="431"/>
      <c r="AJ105" s="431"/>
      <c r="AK105" s="431"/>
      <c r="AL105" s="431"/>
      <c r="AM105" s="434">
        <f>IF(($AU$9+3)&gt;$AX$9,"",VLOOKUP($AU$9+3,Spielplan,6,0))</f>
        <v>4</v>
      </c>
      <c r="AN105" s="435"/>
      <c r="AO105" s="435"/>
      <c r="AP105" s="435"/>
      <c r="AQ105" s="436"/>
    </row>
    <row r="106" spans="2:43" ht="9.9499999999999993" customHeight="1" x14ac:dyDescent="0.2">
      <c r="B106" s="74"/>
      <c r="C106" s="80"/>
      <c r="D106" s="74"/>
      <c r="E106" s="67"/>
      <c r="F106" s="67"/>
      <c r="G106" s="67"/>
      <c r="H106" s="67"/>
      <c r="I106" s="67"/>
      <c r="J106" s="82" t="s">
        <v>51</v>
      </c>
      <c r="K106" s="67"/>
      <c r="L106" s="67"/>
      <c r="M106" s="67"/>
      <c r="N106" s="67"/>
      <c r="O106" s="67"/>
      <c r="P106" s="67"/>
      <c r="Q106" s="67"/>
      <c r="R106" s="81"/>
      <c r="S106" s="423"/>
      <c r="T106" s="406"/>
      <c r="U106" s="406"/>
      <c r="V106" s="406"/>
      <c r="W106" s="406"/>
      <c r="X106" s="406"/>
      <c r="Y106" s="425"/>
      <c r="Z106" s="425"/>
      <c r="AA106" s="425"/>
      <c r="AB106" s="425"/>
      <c r="AC106" s="425"/>
      <c r="AD106" s="425"/>
      <c r="AE106" s="425"/>
      <c r="AF106" s="425"/>
      <c r="AG106" s="425"/>
      <c r="AH106" s="432"/>
      <c r="AI106" s="433"/>
      <c r="AJ106" s="433"/>
      <c r="AK106" s="433"/>
      <c r="AL106" s="433"/>
      <c r="AM106" s="437"/>
      <c r="AN106" s="437"/>
      <c r="AO106" s="437"/>
      <c r="AP106" s="437"/>
      <c r="AQ106" s="438"/>
    </row>
    <row r="107" spans="2:43" ht="15.75" customHeight="1" x14ac:dyDescent="0.2">
      <c r="B107" s="74"/>
      <c r="C107" s="80"/>
      <c r="D107" s="418">
        <f>IF(($AU$9+3)&gt;$AX$9,"",VLOOKUP($AU$9+3,Spielplan,10,0))</f>
        <v>0</v>
      </c>
      <c r="E107" s="419"/>
      <c r="F107" s="419"/>
      <c r="G107" s="419"/>
      <c r="H107" s="419"/>
      <c r="I107" s="419"/>
      <c r="J107" s="419"/>
      <c r="K107" s="419"/>
      <c r="L107" s="419"/>
      <c r="M107" s="419"/>
      <c r="N107" s="419"/>
      <c r="O107" s="419"/>
      <c r="P107" s="419"/>
      <c r="Q107" s="419"/>
      <c r="R107" s="420"/>
      <c r="S107" s="422" t="s">
        <v>52</v>
      </c>
      <c r="T107" s="406"/>
      <c r="U107" s="406"/>
      <c r="V107" s="406"/>
      <c r="W107" s="406"/>
      <c r="X107" s="406"/>
      <c r="Y107" s="424">
        <f>IF(($AU$9+3)&gt;$AX$9,"",VLOOKUP($AU$9+3,Spielplan,2,0))</f>
        <v>0</v>
      </c>
      <c r="Z107" s="425"/>
      <c r="AA107" s="425"/>
      <c r="AB107" s="425"/>
      <c r="AC107" s="425"/>
      <c r="AD107" s="425"/>
      <c r="AE107" s="425"/>
      <c r="AF107" s="425"/>
      <c r="AG107" s="425"/>
      <c r="AH107" s="405" t="s">
        <v>53</v>
      </c>
      <c r="AI107" s="406"/>
      <c r="AJ107" s="406"/>
      <c r="AK107" s="406"/>
      <c r="AL107" s="406"/>
      <c r="AM107" s="400">
        <f>IF(($AU$9+3)&gt;$AX$9,"",VLOOKUP($AU$9+3,Spielplan,5,0))</f>
        <v>1</v>
      </c>
      <c r="AN107" s="401"/>
      <c r="AO107" s="401"/>
      <c r="AP107" s="401"/>
      <c r="AQ107" s="402"/>
    </row>
    <row r="108" spans="2:43" ht="11.1" customHeight="1" thickBot="1" x14ac:dyDescent="0.25">
      <c r="B108" s="74"/>
      <c r="C108" s="80"/>
      <c r="D108" s="421"/>
      <c r="E108" s="419"/>
      <c r="F108" s="419"/>
      <c r="G108" s="419"/>
      <c r="H108" s="419"/>
      <c r="I108" s="419"/>
      <c r="J108" s="419"/>
      <c r="K108" s="419"/>
      <c r="L108" s="419"/>
      <c r="M108" s="419"/>
      <c r="N108" s="419"/>
      <c r="O108" s="419"/>
      <c r="P108" s="419"/>
      <c r="Q108" s="419"/>
      <c r="R108" s="420"/>
      <c r="S108" s="423"/>
      <c r="T108" s="406"/>
      <c r="U108" s="406"/>
      <c r="V108" s="406"/>
      <c r="W108" s="406"/>
      <c r="X108" s="406"/>
      <c r="Y108" s="425"/>
      <c r="Z108" s="425"/>
      <c r="AA108" s="425"/>
      <c r="AB108" s="425"/>
      <c r="AC108" s="425"/>
      <c r="AD108" s="425"/>
      <c r="AE108" s="425"/>
      <c r="AF108" s="425"/>
      <c r="AG108" s="425"/>
      <c r="AH108" s="407"/>
      <c r="AI108" s="408"/>
      <c r="AJ108" s="408"/>
      <c r="AK108" s="408"/>
      <c r="AL108" s="408"/>
      <c r="AM108" s="403"/>
      <c r="AN108" s="403"/>
      <c r="AO108" s="403"/>
      <c r="AP108" s="403"/>
      <c r="AQ108" s="404"/>
    </row>
    <row r="109" spans="2:43" ht="11.1" customHeight="1" thickBot="1" x14ac:dyDescent="0.25">
      <c r="B109" s="74"/>
      <c r="C109" s="80"/>
      <c r="D109" s="72"/>
      <c r="E109" s="73"/>
      <c r="F109" s="73"/>
      <c r="G109" s="73"/>
      <c r="H109" s="73"/>
      <c r="I109" s="73"/>
      <c r="J109" s="73" t="s">
        <v>54</v>
      </c>
      <c r="K109" s="73"/>
      <c r="L109" s="73"/>
      <c r="M109" s="73"/>
      <c r="N109" s="73"/>
      <c r="O109" s="67"/>
      <c r="P109" s="67"/>
      <c r="Q109" s="73"/>
      <c r="R109" s="83"/>
      <c r="S109" s="74"/>
      <c r="T109" s="67"/>
      <c r="U109" s="67"/>
      <c r="V109" s="67"/>
      <c r="W109" s="67"/>
      <c r="X109" s="67"/>
      <c r="Y109" s="409"/>
      <c r="Z109" s="409"/>
      <c r="AA109" s="409"/>
      <c r="AB109" s="409"/>
      <c r="AC109" s="409"/>
      <c r="AD109" s="409"/>
      <c r="AE109" s="409"/>
      <c r="AF109" s="410"/>
      <c r="AG109" s="411"/>
      <c r="AH109" s="84" t="s">
        <v>55</v>
      </c>
      <c r="AI109" s="67"/>
      <c r="AJ109" s="67"/>
      <c r="AK109" s="67"/>
      <c r="AL109" s="67"/>
      <c r="AM109" s="67"/>
      <c r="AN109" s="67"/>
      <c r="AO109" s="85"/>
      <c r="AP109" s="67"/>
      <c r="AQ109" s="81"/>
    </row>
    <row r="110" spans="2:43" ht="13.5" customHeight="1" thickBot="1" x14ac:dyDescent="0.3">
      <c r="B110" s="74"/>
      <c r="C110" s="80"/>
      <c r="D110" s="68"/>
      <c r="E110" s="78" t="s">
        <v>8</v>
      </c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412" t="s">
        <v>56</v>
      </c>
      <c r="R110" s="68"/>
      <c r="S110" s="68"/>
      <c r="T110" s="78" t="s">
        <v>7</v>
      </c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9"/>
      <c r="AF110" s="415" t="s">
        <v>56</v>
      </c>
      <c r="AG110" s="74"/>
      <c r="AH110" s="86" t="s">
        <v>57</v>
      </c>
      <c r="AI110" s="73"/>
      <c r="AJ110" s="73"/>
      <c r="AK110" s="73"/>
      <c r="AL110" s="73"/>
      <c r="AM110" s="73"/>
      <c r="AN110" s="73"/>
      <c r="AO110" s="87"/>
      <c r="AP110" s="67"/>
      <c r="AQ110" s="81"/>
    </row>
    <row r="111" spans="2:43" ht="12" customHeight="1" thickBot="1" x14ac:dyDescent="0.25">
      <c r="B111" s="74"/>
      <c r="C111" s="80"/>
      <c r="D111" s="418">
        <f>IF(($AU$9+3)&gt;$AX$9,"",VLOOKUP($AU$9+3,Spielplan,7,0))</f>
        <v>0</v>
      </c>
      <c r="E111" s="419"/>
      <c r="F111" s="419"/>
      <c r="G111" s="419"/>
      <c r="H111" s="419"/>
      <c r="I111" s="419"/>
      <c r="J111" s="419"/>
      <c r="K111" s="419"/>
      <c r="L111" s="419"/>
      <c r="M111" s="419"/>
      <c r="N111" s="419"/>
      <c r="O111" s="419"/>
      <c r="P111" s="420"/>
      <c r="Q111" s="413"/>
      <c r="R111" s="74"/>
      <c r="S111" s="418">
        <f>IF(($AU$9+3)&gt;$AX$9,"",VLOOKUP($AU$9+3,Spielplan,9,0))</f>
        <v>0</v>
      </c>
      <c r="T111" s="419"/>
      <c r="U111" s="419"/>
      <c r="V111" s="419"/>
      <c r="W111" s="419"/>
      <c r="X111" s="419"/>
      <c r="Y111" s="419"/>
      <c r="Z111" s="419"/>
      <c r="AA111" s="419"/>
      <c r="AB111" s="419"/>
      <c r="AC111" s="419"/>
      <c r="AD111" s="419"/>
      <c r="AE111" s="429"/>
      <c r="AF111" s="416"/>
      <c r="AG111" s="74"/>
      <c r="AH111" s="394" t="s">
        <v>58</v>
      </c>
      <c r="AI111" s="395"/>
      <c r="AJ111" s="395"/>
      <c r="AK111" s="395"/>
      <c r="AL111" s="395"/>
      <c r="AM111" s="396"/>
      <c r="AN111" s="88" t="s">
        <v>59</v>
      </c>
      <c r="AO111" s="89"/>
      <c r="AP111" s="89"/>
      <c r="AQ111" s="87"/>
    </row>
    <row r="112" spans="2:43" ht="12" customHeight="1" thickBot="1" x14ac:dyDescent="0.25">
      <c r="B112" s="72"/>
      <c r="C112" s="85"/>
      <c r="D112" s="426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8"/>
      <c r="Q112" s="414"/>
      <c r="R112" s="72"/>
      <c r="S112" s="426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389"/>
      <c r="AF112" s="417"/>
      <c r="AG112" s="72"/>
      <c r="AH112" s="397"/>
      <c r="AI112" s="398"/>
      <c r="AJ112" s="398"/>
      <c r="AK112" s="398"/>
      <c r="AL112" s="398"/>
      <c r="AM112" s="399"/>
      <c r="AN112" s="88" t="s">
        <v>60</v>
      </c>
      <c r="AO112" s="89"/>
      <c r="AP112" s="89"/>
      <c r="AQ112" s="87"/>
    </row>
    <row r="113" spans="2:44" ht="9.9499999999999993" customHeight="1" thickBot="1" x14ac:dyDescent="0.25">
      <c r="B113" s="74"/>
      <c r="C113" s="7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81"/>
    </row>
    <row r="114" spans="2:44" x14ac:dyDescent="0.2">
      <c r="B114" s="68"/>
      <c r="C114" s="77" t="s">
        <v>59</v>
      </c>
      <c r="D114" s="90"/>
      <c r="E114" s="91"/>
      <c r="F114" s="91"/>
      <c r="G114" s="91"/>
      <c r="H114" s="92"/>
      <c r="I114" s="90"/>
      <c r="J114" s="91"/>
      <c r="K114" s="91"/>
      <c r="L114" s="91"/>
      <c r="M114" s="92"/>
      <c r="N114" s="90"/>
      <c r="O114" s="91"/>
      <c r="P114" s="91"/>
      <c r="Q114" s="91"/>
      <c r="R114" s="92"/>
      <c r="S114" s="90"/>
      <c r="T114" s="91"/>
      <c r="U114" s="91"/>
      <c r="V114" s="91"/>
      <c r="W114" s="92"/>
      <c r="X114" s="90"/>
      <c r="Y114" s="91"/>
      <c r="Z114" s="91"/>
      <c r="AA114" s="91"/>
      <c r="AB114" s="92"/>
      <c r="AC114" s="90"/>
      <c r="AD114" s="91"/>
      <c r="AE114" s="91"/>
      <c r="AF114" s="91"/>
      <c r="AG114" s="92"/>
      <c r="AH114" s="90"/>
      <c r="AI114" s="91"/>
      <c r="AJ114" s="91"/>
      <c r="AK114" s="91"/>
      <c r="AL114" s="91"/>
      <c r="AM114" s="206" t="s">
        <v>59</v>
      </c>
      <c r="AN114" s="392"/>
      <c r="AO114" s="392"/>
      <c r="AP114" s="392"/>
      <c r="AQ114" s="393"/>
    </row>
    <row r="115" spans="2:44" ht="13.5" thickBot="1" x14ac:dyDescent="0.25">
      <c r="B115" s="72"/>
      <c r="C115" s="85" t="s">
        <v>60</v>
      </c>
      <c r="D115" s="72"/>
      <c r="E115" s="93"/>
      <c r="F115" s="93"/>
      <c r="G115" s="93"/>
      <c r="H115" s="94"/>
      <c r="I115" s="72"/>
      <c r="J115" s="93"/>
      <c r="K115" s="93"/>
      <c r="L115" s="93"/>
      <c r="M115" s="94"/>
      <c r="N115" s="72"/>
      <c r="O115" s="93"/>
      <c r="P115" s="93"/>
      <c r="Q115" s="93"/>
      <c r="R115" s="94"/>
      <c r="S115" s="72"/>
      <c r="T115" s="93"/>
      <c r="U115" s="93"/>
      <c r="V115" s="93"/>
      <c r="W115" s="94"/>
      <c r="X115" s="72"/>
      <c r="Y115" s="93"/>
      <c r="Z115" s="93"/>
      <c r="AA115" s="93"/>
      <c r="AB115" s="94"/>
      <c r="AC115" s="72"/>
      <c r="AD115" s="93"/>
      <c r="AE115" s="93"/>
      <c r="AF115" s="93"/>
      <c r="AG115" s="94"/>
      <c r="AH115" s="72"/>
      <c r="AI115" s="93"/>
      <c r="AJ115" s="93"/>
      <c r="AK115" s="93"/>
      <c r="AL115" s="93"/>
      <c r="AM115" s="208" t="s">
        <v>60</v>
      </c>
      <c r="AN115" s="326"/>
      <c r="AO115" s="326"/>
      <c r="AP115" s="326"/>
      <c r="AQ115" s="327"/>
    </row>
    <row r="116" spans="2:44" x14ac:dyDescent="0.2">
      <c r="B116" s="68"/>
      <c r="C116" s="77" t="s">
        <v>59</v>
      </c>
      <c r="D116" s="90"/>
      <c r="E116" s="91"/>
      <c r="F116" s="91"/>
      <c r="G116" s="91"/>
      <c r="H116" s="92"/>
      <c r="I116" s="90"/>
      <c r="J116" s="91"/>
      <c r="K116" s="91"/>
      <c r="L116" s="91"/>
      <c r="M116" s="92"/>
      <c r="N116" s="90"/>
      <c r="O116" s="91"/>
      <c r="P116" s="91"/>
      <c r="Q116" s="91"/>
      <c r="R116" s="92"/>
      <c r="S116" s="90"/>
      <c r="T116" s="91"/>
      <c r="U116" s="91"/>
      <c r="V116" s="91"/>
      <c r="W116" s="92"/>
      <c r="X116" s="90"/>
      <c r="Y116" s="91"/>
      <c r="Z116" s="91"/>
      <c r="AA116" s="91"/>
      <c r="AB116" s="92"/>
      <c r="AC116" s="90"/>
      <c r="AD116" s="91"/>
      <c r="AE116" s="91"/>
      <c r="AF116" s="91"/>
      <c r="AG116" s="92"/>
      <c r="AH116" s="90"/>
      <c r="AI116" s="91"/>
      <c r="AJ116" s="91"/>
      <c r="AK116" s="91"/>
      <c r="AL116" s="91"/>
      <c r="AM116" s="206" t="s">
        <v>59</v>
      </c>
      <c r="AN116" s="392"/>
      <c r="AO116" s="392"/>
      <c r="AP116" s="392"/>
      <c r="AQ116" s="393"/>
    </row>
    <row r="117" spans="2:44" ht="13.5" thickBot="1" x14ac:dyDescent="0.25">
      <c r="B117" s="72"/>
      <c r="C117" s="85" t="s">
        <v>60</v>
      </c>
      <c r="D117" s="72"/>
      <c r="E117" s="93"/>
      <c r="F117" s="93"/>
      <c r="G117" s="93"/>
      <c r="H117" s="94"/>
      <c r="I117" s="72"/>
      <c r="J117" s="93"/>
      <c r="K117" s="93"/>
      <c r="L117" s="93"/>
      <c r="M117" s="94"/>
      <c r="N117" s="72"/>
      <c r="O117" s="93"/>
      <c r="P117" s="93"/>
      <c r="Q117" s="93"/>
      <c r="R117" s="94"/>
      <c r="S117" s="72"/>
      <c r="T117" s="93"/>
      <c r="U117" s="93"/>
      <c r="V117" s="93"/>
      <c r="W117" s="94"/>
      <c r="X117" s="72"/>
      <c r="Y117" s="93"/>
      <c r="Z117" s="93"/>
      <c r="AA117" s="93"/>
      <c r="AB117" s="94"/>
      <c r="AC117" s="72"/>
      <c r="AD117" s="93"/>
      <c r="AE117" s="93"/>
      <c r="AF117" s="93"/>
      <c r="AG117" s="94"/>
      <c r="AH117" s="72"/>
      <c r="AI117" s="93"/>
      <c r="AJ117" s="93"/>
      <c r="AK117" s="93"/>
      <c r="AL117" s="93"/>
      <c r="AM117" s="207" t="s">
        <v>60</v>
      </c>
      <c r="AN117" s="347"/>
      <c r="AO117" s="347"/>
      <c r="AP117" s="347"/>
      <c r="AQ117" s="348"/>
    </row>
    <row r="118" spans="2:44" x14ac:dyDescent="0.2">
      <c r="B118" s="68"/>
      <c r="C118" s="77" t="s">
        <v>59</v>
      </c>
      <c r="D118" s="90"/>
      <c r="E118" s="91"/>
      <c r="F118" s="91"/>
      <c r="G118" s="91"/>
      <c r="H118" s="92"/>
      <c r="I118" s="90"/>
      <c r="J118" s="91"/>
      <c r="K118" s="91"/>
      <c r="L118" s="91"/>
      <c r="M118" s="92"/>
      <c r="N118" s="90"/>
      <c r="O118" s="91"/>
      <c r="P118" s="91"/>
      <c r="Q118" s="91"/>
      <c r="R118" s="92"/>
      <c r="S118" s="90"/>
      <c r="T118" s="91"/>
      <c r="U118" s="91"/>
      <c r="V118" s="91"/>
      <c r="W118" s="92"/>
      <c r="X118" s="90"/>
      <c r="Y118" s="91"/>
      <c r="Z118" s="91"/>
      <c r="AA118" s="91"/>
      <c r="AB118" s="92"/>
      <c r="AC118" s="90"/>
      <c r="AD118" s="91"/>
      <c r="AE118" s="91"/>
      <c r="AF118" s="91"/>
      <c r="AG118" s="92"/>
      <c r="AH118" s="90"/>
      <c r="AI118" s="91"/>
      <c r="AJ118" s="91"/>
      <c r="AK118" s="91"/>
      <c r="AL118" s="91"/>
      <c r="AM118" s="206" t="s">
        <v>59</v>
      </c>
      <c r="AN118" s="392"/>
      <c r="AO118" s="392"/>
      <c r="AP118" s="392"/>
      <c r="AQ118" s="393"/>
    </row>
    <row r="119" spans="2:44" ht="13.5" thickBot="1" x14ac:dyDescent="0.25">
      <c r="B119" s="72"/>
      <c r="C119" s="85" t="s">
        <v>60</v>
      </c>
      <c r="D119" s="72"/>
      <c r="E119" s="93"/>
      <c r="F119" s="93"/>
      <c r="G119" s="93"/>
      <c r="H119" s="94"/>
      <c r="I119" s="72"/>
      <c r="J119" s="93"/>
      <c r="K119" s="93"/>
      <c r="L119" s="93"/>
      <c r="M119" s="94"/>
      <c r="N119" s="72"/>
      <c r="O119" s="93"/>
      <c r="P119" s="93"/>
      <c r="Q119" s="93"/>
      <c r="R119" s="94"/>
      <c r="S119" s="72"/>
      <c r="T119" s="93"/>
      <c r="U119" s="93"/>
      <c r="V119" s="93"/>
      <c r="W119" s="94"/>
      <c r="X119" s="72"/>
      <c r="Y119" s="93"/>
      <c r="Z119" s="93"/>
      <c r="AA119" s="93"/>
      <c r="AB119" s="94"/>
      <c r="AC119" s="72"/>
      <c r="AD119" s="93"/>
      <c r="AE119" s="93"/>
      <c r="AF119" s="93"/>
      <c r="AG119" s="94"/>
      <c r="AH119" s="72"/>
      <c r="AI119" s="93"/>
      <c r="AJ119" s="93"/>
      <c r="AK119" s="93"/>
      <c r="AL119" s="93"/>
      <c r="AM119" s="207" t="s">
        <v>60</v>
      </c>
      <c r="AN119" s="347"/>
      <c r="AO119" s="347"/>
      <c r="AP119" s="347"/>
      <c r="AQ119" s="348"/>
    </row>
    <row r="120" spans="2:44" ht="9.9499999999999993" customHeight="1" x14ac:dyDescent="0.2">
      <c r="B120" s="74"/>
      <c r="C120" s="74"/>
      <c r="D120" s="378" t="s">
        <v>61</v>
      </c>
      <c r="E120" s="379"/>
      <c r="F120" s="380"/>
      <c r="G120" s="384" t="s">
        <v>62</v>
      </c>
      <c r="H120" s="385"/>
      <c r="I120" s="385"/>
      <c r="J120" s="385"/>
      <c r="K120" s="385"/>
      <c r="L120" s="385"/>
      <c r="M120" s="385"/>
      <c r="N120" s="385"/>
      <c r="O120" s="386"/>
      <c r="P120" s="390" t="s">
        <v>56</v>
      </c>
      <c r="Q120" s="390" t="s">
        <v>63</v>
      </c>
      <c r="R120" s="67"/>
      <c r="S120" s="378" t="s">
        <v>61</v>
      </c>
      <c r="T120" s="379"/>
      <c r="U120" s="380"/>
      <c r="V120" s="384" t="s">
        <v>62</v>
      </c>
      <c r="W120" s="385"/>
      <c r="X120" s="385"/>
      <c r="Y120" s="385"/>
      <c r="Z120" s="385"/>
      <c r="AA120" s="385"/>
      <c r="AB120" s="385"/>
      <c r="AC120" s="385"/>
      <c r="AD120" s="386"/>
      <c r="AE120" s="390" t="s">
        <v>56</v>
      </c>
      <c r="AF120" s="390" t="s">
        <v>63</v>
      </c>
      <c r="AG120" s="95"/>
      <c r="AH120" s="96"/>
      <c r="AI120" s="96"/>
      <c r="AJ120" s="96"/>
      <c r="AK120" s="96"/>
      <c r="AL120" s="96"/>
      <c r="AM120" s="114"/>
      <c r="AN120" s="377" t="s">
        <v>1</v>
      </c>
      <c r="AO120" s="377"/>
      <c r="AP120" s="377" t="s">
        <v>2</v>
      </c>
      <c r="AQ120" s="377"/>
      <c r="AR120" s="97"/>
    </row>
    <row r="121" spans="2:44" ht="13.5" thickBot="1" x14ac:dyDescent="0.25">
      <c r="B121" s="74"/>
      <c r="C121" s="74"/>
      <c r="D121" s="381"/>
      <c r="E121" s="382"/>
      <c r="F121" s="383"/>
      <c r="G121" s="387"/>
      <c r="H121" s="388"/>
      <c r="I121" s="388"/>
      <c r="J121" s="388"/>
      <c r="K121" s="388"/>
      <c r="L121" s="388"/>
      <c r="M121" s="388"/>
      <c r="N121" s="388"/>
      <c r="O121" s="389"/>
      <c r="P121" s="391"/>
      <c r="Q121" s="391"/>
      <c r="R121" s="67"/>
      <c r="S121" s="381"/>
      <c r="T121" s="382"/>
      <c r="U121" s="383"/>
      <c r="V121" s="387"/>
      <c r="W121" s="388"/>
      <c r="X121" s="388"/>
      <c r="Y121" s="388"/>
      <c r="Z121" s="388"/>
      <c r="AA121" s="388"/>
      <c r="AB121" s="388"/>
      <c r="AC121" s="388"/>
      <c r="AD121" s="389"/>
      <c r="AE121" s="391"/>
      <c r="AF121" s="391"/>
      <c r="AG121" s="98"/>
      <c r="AH121" s="67"/>
      <c r="AI121" s="99" t="s">
        <v>64</v>
      </c>
      <c r="AJ121" s="99"/>
      <c r="AK121" s="99"/>
      <c r="AL121" s="99"/>
      <c r="AM121" s="99"/>
      <c r="AN121" s="99"/>
      <c r="AO121" s="100"/>
      <c r="AP121" s="100"/>
      <c r="AQ121" s="101"/>
      <c r="AR121" s="97"/>
    </row>
    <row r="122" spans="2:44" ht="13.5" customHeight="1" x14ac:dyDescent="0.2">
      <c r="B122" s="74"/>
      <c r="C122" s="74"/>
      <c r="D122" s="216"/>
      <c r="E122" s="209"/>
      <c r="F122" s="210"/>
      <c r="G122" s="211" t="s">
        <v>65</v>
      </c>
      <c r="H122" s="212"/>
      <c r="I122" s="212"/>
      <c r="J122" s="212"/>
      <c r="K122" s="212"/>
      <c r="L122" s="212"/>
      <c r="M122" s="212"/>
      <c r="N122" s="212"/>
      <c r="O122" s="213"/>
      <c r="P122" s="214"/>
      <c r="Q122" s="214"/>
      <c r="R122" s="215"/>
      <c r="S122" s="216"/>
      <c r="T122" s="209"/>
      <c r="U122" s="210"/>
      <c r="V122" s="211" t="s">
        <v>65</v>
      </c>
      <c r="W122" s="212"/>
      <c r="X122" s="212"/>
      <c r="Y122" s="212"/>
      <c r="Z122" s="212"/>
      <c r="AA122" s="212"/>
      <c r="AB122" s="212"/>
      <c r="AC122" s="212"/>
      <c r="AD122" s="213"/>
      <c r="AE122" s="214"/>
      <c r="AF122" s="214"/>
      <c r="AG122" s="365" t="s">
        <v>83</v>
      </c>
      <c r="AH122" s="366"/>
      <c r="AI122" s="366"/>
      <c r="AJ122" s="367"/>
      <c r="AK122" s="371" t="s">
        <v>66</v>
      </c>
      <c r="AL122" s="372"/>
      <c r="AM122" s="372"/>
      <c r="AN122" s="372"/>
      <c r="AO122" s="372"/>
      <c r="AP122" s="372"/>
      <c r="AQ122" s="373"/>
    </row>
    <row r="123" spans="2:44" ht="13.5" customHeight="1" thickBot="1" x14ac:dyDescent="0.25">
      <c r="B123" s="74"/>
      <c r="C123" s="74"/>
      <c r="D123" s="216"/>
      <c r="E123" s="209"/>
      <c r="F123" s="210"/>
      <c r="G123" s="217">
        <v>2</v>
      </c>
      <c r="H123" s="209"/>
      <c r="I123" s="209"/>
      <c r="J123" s="209"/>
      <c r="K123" s="209"/>
      <c r="L123" s="209"/>
      <c r="M123" s="209"/>
      <c r="N123" s="209"/>
      <c r="O123" s="210"/>
      <c r="P123" s="214"/>
      <c r="Q123" s="214"/>
      <c r="R123" s="215"/>
      <c r="S123" s="216"/>
      <c r="T123" s="209"/>
      <c r="U123" s="210"/>
      <c r="V123" s="217">
        <v>2</v>
      </c>
      <c r="W123" s="209"/>
      <c r="X123" s="209"/>
      <c r="Y123" s="209"/>
      <c r="Z123" s="209"/>
      <c r="AA123" s="209"/>
      <c r="AB123" s="209"/>
      <c r="AC123" s="209"/>
      <c r="AD123" s="210"/>
      <c r="AE123" s="214"/>
      <c r="AF123" s="214"/>
      <c r="AG123" s="368"/>
      <c r="AH123" s="369"/>
      <c r="AI123" s="369"/>
      <c r="AJ123" s="370"/>
      <c r="AK123" s="374"/>
      <c r="AL123" s="375"/>
      <c r="AM123" s="375"/>
      <c r="AN123" s="375"/>
      <c r="AO123" s="375"/>
      <c r="AP123" s="375"/>
      <c r="AQ123" s="376"/>
    </row>
    <row r="124" spans="2:44" ht="13.5" customHeight="1" x14ac:dyDescent="0.2">
      <c r="B124" s="74"/>
      <c r="C124" s="74"/>
      <c r="D124" s="216"/>
      <c r="E124" s="209"/>
      <c r="F124" s="210"/>
      <c r="G124" s="217">
        <v>3</v>
      </c>
      <c r="H124" s="209"/>
      <c r="I124" s="209"/>
      <c r="J124" s="209"/>
      <c r="K124" s="209"/>
      <c r="L124" s="209"/>
      <c r="M124" s="209"/>
      <c r="N124" s="209"/>
      <c r="O124" s="210"/>
      <c r="P124" s="214"/>
      <c r="Q124" s="214"/>
      <c r="R124" s="215"/>
      <c r="S124" s="216"/>
      <c r="T124" s="209"/>
      <c r="U124" s="210"/>
      <c r="V124" s="217">
        <v>3</v>
      </c>
      <c r="W124" s="209"/>
      <c r="X124" s="209"/>
      <c r="Y124" s="209"/>
      <c r="Z124" s="209"/>
      <c r="AA124" s="209"/>
      <c r="AB124" s="209"/>
      <c r="AC124" s="209"/>
      <c r="AD124" s="210"/>
      <c r="AE124" s="214"/>
      <c r="AF124" s="214"/>
      <c r="AG124" s="365" t="s">
        <v>2</v>
      </c>
      <c r="AH124" s="366"/>
      <c r="AI124" s="366"/>
      <c r="AJ124" s="367"/>
      <c r="AK124" s="371" t="s">
        <v>66</v>
      </c>
      <c r="AL124" s="372"/>
      <c r="AM124" s="372"/>
      <c r="AN124" s="372"/>
      <c r="AO124" s="372"/>
      <c r="AP124" s="372"/>
      <c r="AQ124" s="373"/>
    </row>
    <row r="125" spans="2:44" ht="13.5" customHeight="1" thickBot="1" x14ac:dyDescent="0.25">
      <c r="B125" s="74"/>
      <c r="C125" s="74"/>
      <c r="D125" s="216"/>
      <c r="E125" s="209"/>
      <c r="F125" s="210"/>
      <c r="G125" s="217">
        <v>4</v>
      </c>
      <c r="H125" s="209"/>
      <c r="I125" s="209"/>
      <c r="J125" s="209"/>
      <c r="K125" s="209"/>
      <c r="L125" s="209"/>
      <c r="M125" s="209"/>
      <c r="N125" s="209"/>
      <c r="O125" s="210"/>
      <c r="P125" s="214"/>
      <c r="Q125" s="214"/>
      <c r="R125" s="215"/>
      <c r="S125" s="216"/>
      <c r="T125" s="209"/>
      <c r="U125" s="210"/>
      <c r="V125" s="217">
        <v>4</v>
      </c>
      <c r="W125" s="209"/>
      <c r="X125" s="209"/>
      <c r="Y125" s="209"/>
      <c r="Z125" s="209"/>
      <c r="AA125" s="209"/>
      <c r="AB125" s="209"/>
      <c r="AC125" s="209"/>
      <c r="AD125" s="210"/>
      <c r="AE125" s="214"/>
      <c r="AF125" s="214"/>
      <c r="AG125" s="368"/>
      <c r="AH125" s="369"/>
      <c r="AI125" s="369"/>
      <c r="AJ125" s="370"/>
      <c r="AK125" s="374"/>
      <c r="AL125" s="375"/>
      <c r="AM125" s="375"/>
      <c r="AN125" s="375"/>
      <c r="AO125" s="375"/>
      <c r="AP125" s="375"/>
      <c r="AQ125" s="376"/>
    </row>
    <row r="126" spans="2:44" ht="13.5" customHeight="1" x14ac:dyDescent="0.2">
      <c r="B126" s="74"/>
      <c r="C126" s="74"/>
      <c r="D126" s="216"/>
      <c r="E126" s="209"/>
      <c r="F126" s="210"/>
      <c r="G126" s="217">
        <v>5</v>
      </c>
      <c r="H126" s="209"/>
      <c r="I126" s="209"/>
      <c r="J126" s="209"/>
      <c r="K126" s="209"/>
      <c r="L126" s="209"/>
      <c r="M126" s="209"/>
      <c r="N126" s="209"/>
      <c r="O126" s="210"/>
      <c r="P126" s="214"/>
      <c r="Q126" s="214"/>
      <c r="R126" s="215"/>
      <c r="S126" s="216"/>
      <c r="T126" s="209"/>
      <c r="U126" s="210"/>
      <c r="V126" s="217">
        <v>5</v>
      </c>
      <c r="W126" s="209"/>
      <c r="X126" s="209"/>
      <c r="Y126" s="209"/>
      <c r="Z126" s="209"/>
      <c r="AA126" s="209"/>
      <c r="AB126" s="209"/>
      <c r="AC126" s="209"/>
      <c r="AD126" s="210"/>
      <c r="AE126" s="214"/>
      <c r="AF126" s="214"/>
      <c r="AG126" s="102" t="s">
        <v>67</v>
      </c>
      <c r="AH126" s="70"/>
      <c r="AI126" s="70"/>
      <c r="AJ126" s="70"/>
      <c r="AK126" s="70"/>
      <c r="AL126" s="70"/>
      <c r="AM126" s="70"/>
      <c r="AN126" s="70"/>
      <c r="AO126" s="70" t="s">
        <v>68</v>
      </c>
      <c r="AP126" s="70"/>
      <c r="AQ126" s="79"/>
    </row>
    <row r="127" spans="2:44" ht="13.5" customHeight="1" x14ac:dyDescent="0.2">
      <c r="B127" s="74"/>
      <c r="C127" s="74"/>
      <c r="D127" s="216"/>
      <c r="E127" s="209"/>
      <c r="F127" s="210"/>
      <c r="G127" s="217">
        <v>6</v>
      </c>
      <c r="H127" s="209"/>
      <c r="I127" s="209"/>
      <c r="J127" s="209"/>
      <c r="K127" s="209"/>
      <c r="L127" s="209"/>
      <c r="M127" s="209"/>
      <c r="N127" s="209"/>
      <c r="O127" s="210"/>
      <c r="P127" s="214"/>
      <c r="Q127" s="214"/>
      <c r="R127" s="215"/>
      <c r="S127" s="216"/>
      <c r="T127" s="209"/>
      <c r="U127" s="210"/>
      <c r="V127" s="217">
        <v>6</v>
      </c>
      <c r="W127" s="209"/>
      <c r="X127" s="209"/>
      <c r="Y127" s="209"/>
      <c r="Z127" s="209"/>
      <c r="AA127" s="209"/>
      <c r="AB127" s="209"/>
      <c r="AC127" s="209"/>
      <c r="AD127" s="210"/>
      <c r="AE127" s="214"/>
      <c r="AF127" s="214"/>
      <c r="AG127" s="103"/>
      <c r="AH127" s="67"/>
      <c r="AI127" s="67"/>
      <c r="AJ127" s="67"/>
      <c r="AK127" s="67"/>
      <c r="AL127" s="67"/>
      <c r="AM127" s="67"/>
      <c r="AN127" s="67"/>
      <c r="AO127" s="67"/>
      <c r="AP127" s="67"/>
      <c r="AQ127" s="81"/>
    </row>
    <row r="128" spans="2:44" ht="13.5" customHeight="1" thickBot="1" x14ac:dyDescent="0.25">
      <c r="B128" s="74"/>
      <c r="C128" s="74"/>
      <c r="D128" s="216"/>
      <c r="E128" s="209"/>
      <c r="F128" s="210"/>
      <c r="G128" s="217">
        <v>7</v>
      </c>
      <c r="H128" s="209"/>
      <c r="I128" s="209"/>
      <c r="J128" s="209"/>
      <c r="K128" s="209"/>
      <c r="L128" s="209"/>
      <c r="M128" s="209"/>
      <c r="N128" s="209"/>
      <c r="O128" s="210"/>
      <c r="P128" s="214"/>
      <c r="Q128" s="214"/>
      <c r="R128" s="215"/>
      <c r="S128" s="216"/>
      <c r="T128" s="209"/>
      <c r="U128" s="210"/>
      <c r="V128" s="217">
        <v>7</v>
      </c>
      <c r="W128" s="209"/>
      <c r="X128" s="209"/>
      <c r="Y128" s="209"/>
      <c r="Z128" s="209"/>
      <c r="AA128" s="209"/>
      <c r="AB128" s="209"/>
      <c r="AC128" s="209"/>
      <c r="AD128" s="210"/>
      <c r="AE128" s="214"/>
      <c r="AF128" s="214"/>
      <c r="AG128" s="74" t="s">
        <v>69</v>
      </c>
      <c r="AH128" s="67"/>
      <c r="AI128" s="67"/>
      <c r="AJ128" s="67"/>
      <c r="AK128" s="67"/>
      <c r="AL128" s="67"/>
      <c r="AM128" s="67"/>
      <c r="AN128" s="67"/>
      <c r="AO128" s="67"/>
      <c r="AP128" s="67"/>
      <c r="AQ128" s="81"/>
    </row>
    <row r="129" spans="2:43" ht="13.5" customHeight="1" thickBot="1" x14ac:dyDescent="0.25">
      <c r="B129" s="74"/>
      <c r="C129" s="74"/>
      <c r="D129" s="222"/>
      <c r="E129" s="218"/>
      <c r="F129" s="219"/>
      <c r="G129" s="220">
        <v>8</v>
      </c>
      <c r="H129" s="218"/>
      <c r="I129" s="218"/>
      <c r="J129" s="218"/>
      <c r="K129" s="218"/>
      <c r="L129" s="218"/>
      <c r="M129" s="218"/>
      <c r="N129" s="218"/>
      <c r="O129" s="219"/>
      <c r="P129" s="221"/>
      <c r="Q129" s="221"/>
      <c r="R129" s="215"/>
      <c r="S129" s="222"/>
      <c r="T129" s="218"/>
      <c r="U129" s="219"/>
      <c r="V129" s="220">
        <v>8</v>
      </c>
      <c r="W129" s="218"/>
      <c r="X129" s="218"/>
      <c r="Y129" s="218"/>
      <c r="Z129" s="218"/>
      <c r="AA129" s="218"/>
      <c r="AB129" s="218"/>
      <c r="AC129" s="218"/>
      <c r="AD129" s="219"/>
      <c r="AE129" s="221"/>
      <c r="AF129" s="221"/>
      <c r="AG129" s="104" t="s">
        <v>70</v>
      </c>
      <c r="AH129" s="70"/>
      <c r="AI129" s="70"/>
      <c r="AJ129" s="70"/>
      <c r="AK129" s="70"/>
      <c r="AL129" s="70"/>
      <c r="AM129" s="70"/>
      <c r="AN129" s="70"/>
      <c r="AO129" s="70"/>
      <c r="AP129" s="70"/>
      <c r="AQ129" s="79"/>
    </row>
    <row r="130" spans="2:43" ht="13.5" customHeight="1" thickBot="1" x14ac:dyDescent="0.25">
      <c r="B130" s="74"/>
      <c r="C130" s="74"/>
      <c r="D130" s="89"/>
      <c r="E130" s="105"/>
      <c r="F130" s="105"/>
      <c r="G130" s="105"/>
      <c r="H130" s="105"/>
      <c r="I130" s="105"/>
      <c r="J130" s="106" t="s">
        <v>71</v>
      </c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7"/>
      <c r="AG130" s="84" t="s">
        <v>72</v>
      </c>
      <c r="AH130" s="67"/>
      <c r="AI130" s="67"/>
      <c r="AJ130" s="67"/>
      <c r="AK130" s="67"/>
      <c r="AL130" s="67"/>
      <c r="AM130" s="67"/>
      <c r="AN130" s="67"/>
      <c r="AO130" s="67"/>
      <c r="AP130" s="67"/>
      <c r="AQ130" s="81"/>
    </row>
    <row r="131" spans="2:43" ht="13.5" customHeight="1" thickBot="1" x14ac:dyDescent="0.25">
      <c r="B131" s="74"/>
      <c r="C131" s="74"/>
      <c r="D131" s="108" t="s">
        <v>73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7"/>
      <c r="S131" s="108" t="s">
        <v>74</v>
      </c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7"/>
      <c r="AG131" s="109" t="s">
        <v>75</v>
      </c>
      <c r="AH131" s="110"/>
      <c r="AI131" s="110"/>
      <c r="AJ131" s="110"/>
      <c r="AK131" s="110"/>
      <c r="AL131" s="87"/>
      <c r="AM131" s="111" t="s">
        <v>76</v>
      </c>
      <c r="AN131" s="110"/>
      <c r="AO131" s="110"/>
      <c r="AP131" s="110"/>
      <c r="AQ131" s="87"/>
    </row>
    <row r="132" spans="2:43" ht="17.25" customHeight="1" thickBot="1" x14ac:dyDescent="0.25">
      <c r="B132" s="72"/>
      <c r="C132" s="72"/>
      <c r="D132" s="108" t="s">
        <v>77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7"/>
      <c r="S132" s="108" t="s">
        <v>6</v>
      </c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7"/>
      <c r="AG132" s="112" t="s">
        <v>78</v>
      </c>
      <c r="AH132" s="73"/>
      <c r="AI132" s="73"/>
      <c r="AJ132" s="73"/>
      <c r="AK132" s="73"/>
      <c r="AL132" s="87"/>
      <c r="AM132" s="113" t="s">
        <v>79</v>
      </c>
      <c r="AN132" s="73"/>
      <c r="AO132" s="73"/>
      <c r="AP132" s="73"/>
      <c r="AQ132" s="87"/>
    </row>
    <row r="133" spans="2:43" ht="13.5" thickBot="1" x14ac:dyDescent="0.25"/>
    <row r="134" spans="2:43" ht="17.25" customHeight="1" x14ac:dyDescent="0.25">
      <c r="B134" s="68"/>
      <c r="C134" s="68"/>
      <c r="D134" s="69" t="s">
        <v>44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1" t="s">
        <v>89</v>
      </c>
      <c r="Z134" s="70"/>
      <c r="AA134" s="70"/>
      <c r="AB134" s="70"/>
      <c r="AC134" s="70"/>
      <c r="AD134" s="70"/>
      <c r="AE134" s="70"/>
      <c r="AF134" s="70"/>
      <c r="AG134" s="70"/>
      <c r="AH134" s="441" t="s">
        <v>45</v>
      </c>
      <c r="AI134" s="442"/>
      <c r="AJ134" s="442"/>
      <c r="AK134" s="442"/>
      <c r="AL134" s="442"/>
      <c r="AM134" s="443">
        <f>IF(($AU$9+4)&gt;$AX$9,"",VLOOKUP($AU$9+4,Spielplan,3,0))</f>
        <v>4.8611111111111105E-2</v>
      </c>
      <c r="AN134" s="443"/>
      <c r="AO134" s="443"/>
      <c r="AP134" s="443"/>
      <c r="AQ134" s="444"/>
    </row>
    <row r="135" spans="2:43" ht="0.75" customHeight="1" thickBot="1" x14ac:dyDescent="0.25">
      <c r="B135" s="72"/>
      <c r="C135" s="72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4"/>
      <c r="AI135" s="67"/>
      <c r="AJ135" s="67"/>
      <c r="AK135" s="67"/>
      <c r="AL135" s="67"/>
      <c r="AM135" s="75"/>
      <c r="AN135" s="75"/>
      <c r="AO135" s="75"/>
      <c r="AP135" s="75"/>
      <c r="AQ135" s="76"/>
    </row>
    <row r="136" spans="2:43" ht="15" x14ac:dyDescent="0.25">
      <c r="B136" s="68"/>
      <c r="C136" s="77"/>
      <c r="D136" s="68"/>
      <c r="E136" s="78" t="s">
        <v>6</v>
      </c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9"/>
      <c r="S136" s="439" t="s">
        <v>46</v>
      </c>
      <c r="T136" s="440"/>
      <c r="U136" s="440"/>
      <c r="V136" s="440"/>
      <c r="W136" s="440"/>
      <c r="X136" s="440"/>
      <c r="Y136" s="366" t="str">
        <f>IF(($AU$9+4)&gt;$AX$9,"","SHTV")</f>
        <v>SHTV</v>
      </c>
      <c r="Z136" s="366"/>
      <c r="AA136" s="366"/>
      <c r="AB136" s="366"/>
      <c r="AC136" s="366"/>
      <c r="AD136" s="366"/>
      <c r="AE136" s="366"/>
      <c r="AF136" s="366"/>
      <c r="AG136" s="366"/>
      <c r="AH136" s="430" t="s">
        <v>47</v>
      </c>
      <c r="AI136" s="431"/>
      <c r="AJ136" s="431"/>
      <c r="AK136" s="431"/>
      <c r="AL136" s="431"/>
      <c r="AM136" s="434">
        <f>IF(($AU$9+4)&gt;$AX$9,"",VLOOKUP($AU$9+4,Spielplan,4,0))</f>
        <v>3</v>
      </c>
      <c r="AN136" s="435"/>
      <c r="AO136" s="435"/>
      <c r="AP136" s="435"/>
      <c r="AQ136" s="436"/>
    </row>
    <row r="137" spans="2:43" ht="9.9499999999999993" customHeight="1" x14ac:dyDescent="0.2">
      <c r="B137" s="74"/>
      <c r="C137" s="80"/>
      <c r="D137" s="74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81"/>
      <c r="S137" s="423"/>
      <c r="T137" s="406"/>
      <c r="U137" s="406"/>
      <c r="V137" s="406"/>
      <c r="W137" s="406"/>
      <c r="X137" s="406"/>
      <c r="Y137" s="425"/>
      <c r="Z137" s="425"/>
      <c r="AA137" s="425"/>
      <c r="AB137" s="425"/>
      <c r="AC137" s="425"/>
      <c r="AD137" s="425"/>
      <c r="AE137" s="425"/>
      <c r="AF137" s="425"/>
      <c r="AG137" s="425"/>
      <c r="AH137" s="432"/>
      <c r="AI137" s="433"/>
      <c r="AJ137" s="433"/>
      <c r="AK137" s="433"/>
      <c r="AL137" s="433"/>
      <c r="AM137" s="437"/>
      <c r="AN137" s="437"/>
      <c r="AO137" s="437"/>
      <c r="AP137" s="437"/>
      <c r="AQ137" s="438"/>
    </row>
    <row r="138" spans="2:43" ht="13.15" customHeight="1" x14ac:dyDescent="0.2">
      <c r="B138" s="74"/>
      <c r="C138" s="80"/>
      <c r="D138" s="74"/>
      <c r="E138" s="67" t="s">
        <v>48</v>
      </c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81"/>
      <c r="S138" s="422" t="s">
        <v>49</v>
      </c>
      <c r="T138" s="406"/>
      <c r="U138" s="406"/>
      <c r="V138" s="406"/>
      <c r="W138" s="406"/>
      <c r="X138" s="406"/>
      <c r="Y138" s="425">
        <f>IF(($AU$9+4)&gt;$AX$9,"",Platzierung!$U$3)</f>
        <v>0</v>
      </c>
      <c r="Z138" s="425"/>
      <c r="AA138" s="425"/>
      <c r="AB138" s="425"/>
      <c r="AC138" s="425"/>
      <c r="AD138" s="425"/>
      <c r="AE138" s="425"/>
      <c r="AF138" s="425"/>
      <c r="AG138" s="425"/>
      <c r="AH138" s="430" t="s">
        <v>50</v>
      </c>
      <c r="AI138" s="431"/>
      <c r="AJ138" s="431"/>
      <c r="AK138" s="431"/>
      <c r="AL138" s="431"/>
      <c r="AM138" s="434">
        <f>IF(($AU$9+4)&gt;$AX$9,"",VLOOKUP($AU$9+4,Spielplan,6,0))</f>
        <v>5</v>
      </c>
      <c r="AN138" s="435"/>
      <c r="AO138" s="435"/>
      <c r="AP138" s="435"/>
      <c r="AQ138" s="436"/>
    </row>
    <row r="139" spans="2:43" ht="9.9499999999999993" customHeight="1" x14ac:dyDescent="0.2">
      <c r="B139" s="74"/>
      <c r="C139" s="80"/>
      <c r="D139" s="74"/>
      <c r="E139" s="67"/>
      <c r="F139" s="67"/>
      <c r="G139" s="67"/>
      <c r="H139" s="67"/>
      <c r="I139" s="67"/>
      <c r="J139" s="82" t="s">
        <v>51</v>
      </c>
      <c r="K139" s="67"/>
      <c r="L139" s="67"/>
      <c r="M139" s="67"/>
      <c r="N139" s="67"/>
      <c r="O139" s="67"/>
      <c r="P139" s="67"/>
      <c r="Q139" s="67"/>
      <c r="R139" s="81"/>
      <c r="S139" s="423"/>
      <c r="T139" s="406"/>
      <c r="U139" s="406"/>
      <c r="V139" s="406"/>
      <c r="W139" s="406"/>
      <c r="X139" s="406"/>
      <c r="Y139" s="425"/>
      <c r="Z139" s="425"/>
      <c r="AA139" s="425"/>
      <c r="AB139" s="425"/>
      <c r="AC139" s="425"/>
      <c r="AD139" s="425"/>
      <c r="AE139" s="425"/>
      <c r="AF139" s="425"/>
      <c r="AG139" s="425"/>
      <c r="AH139" s="432"/>
      <c r="AI139" s="433"/>
      <c r="AJ139" s="433"/>
      <c r="AK139" s="433"/>
      <c r="AL139" s="433"/>
      <c r="AM139" s="437"/>
      <c r="AN139" s="437"/>
      <c r="AO139" s="437"/>
      <c r="AP139" s="437"/>
      <c r="AQ139" s="438"/>
    </row>
    <row r="140" spans="2:43" ht="15.75" customHeight="1" x14ac:dyDescent="0.2">
      <c r="B140" s="74"/>
      <c r="C140" s="80"/>
      <c r="D140" s="418">
        <f>IF(($AU$9+4)&gt;$AX$9,"",VLOOKUP($AU$9+4,Spielplan,10,0))</f>
        <v>0</v>
      </c>
      <c r="E140" s="419"/>
      <c r="F140" s="419"/>
      <c r="G140" s="419"/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20"/>
      <c r="S140" s="422" t="s">
        <v>52</v>
      </c>
      <c r="T140" s="406"/>
      <c r="U140" s="406"/>
      <c r="V140" s="406"/>
      <c r="W140" s="406"/>
      <c r="X140" s="406"/>
      <c r="Y140" s="424">
        <f>IF(($AU$9+4)&gt;$AX$9,"",VLOOKUP($AU$9+4,Spielplan,2,0))</f>
        <v>0</v>
      </c>
      <c r="Z140" s="425"/>
      <c r="AA140" s="425"/>
      <c r="AB140" s="425"/>
      <c r="AC140" s="425"/>
      <c r="AD140" s="425"/>
      <c r="AE140" s="425"/>
      <c r="AF140" s="425"/>
      <c r="AG140" s="425"/>
      <c r="AH140" s="405" t="s">
        <v>53</v>
      </c>
      <c r="AI140" s="406"/>
      <c r="AJ140" s="406"/>
      <c r="AK140" s="406"/>
      <c r="AL140" s="406"/>
      <c r="AM140" s="400">
        <f>IF(($AU$9+4)&gt;$AX$9,"",VLOOKUP($AU$9+4,Spielplan,5,0))</f>
        <v>2</v>
      </c>
      <c r="AN140" s="401"/>
      <c r="AO140" s="401"/>
      <c r="AP140" s="401"/>
      <c r="AQ140" s="402"/>
    </row>
    <row r="141" spans="2:43" ht="11.1" customHeight="1" thickBot="1" x14ac:dyDescent="0.25">
      <c r="B141" s="74"/>
      <c r="C141" s="80"/>
      <c r="D141" s="421"/>
      <c r="E141" s="419"/>
      <c r="F141" s="419"/>
      <c r="G141" s="419"/>
      <c r="H141" s="419"/>
      <c r="I141" s="419"/>
      <c r="J141" s="419"/>
      <c r="K141" s="419"/>
      <c r="L141" s="419"/>
      <c r="M141" s="419"/>
      <c r="N141" s="419"/>
      <c r="O141" s="419"/>
      <c r="P141" s="419"/>
      <c r="Q141" s="419"/>
      <c r="R141" s="420"/>
      <c r="S141" s="423"/>
      <c r="T141" s="406"/>
      <c r="U141" s="406"/>
      <c r="V141" s="406"/>
      <c r="W141" s="406"/>
      <c r="X141" s="406"/>
      <c r="Y141" s="425"/>
      <c r="Z141" s="425"/>
      <c r="AA141" s="425"/>
      <c r="AB141" s="425"/>
      <c r="AC141" s="425"/>
      <c r="AD141" s="425"/>
      <c r="AE141" s="425"/>
      <c r="AF141" s="425"/>
      <c r="AG141" s="425"/>
      <c r="AH141" s="407"/>
      <c r="AI141" s="408"/>
      <c r="AJ141" s="408"/>
      <c r="AK141" s="408"/>
      <c r="AL141" s="408"/>
      <c r="AM141" s="403"/>
      <c r="AN141" s="403"/>
      <c r="AO141" s="403"/>
      <c r="AP141" s="403"/>
      <c r="AQ141" s="404"/>
    </row>
    <row r="142" spans="2:43" ht="11.1" customHeight="1" thickBot="1" x14ac:dyDescent="0.25">
      <c r="B142" s="74"/>
      <c r="C142" s="80"/>
      <c r="D142" s="72"/>
      <c r="E142" s="73"/>
      <c r="F142" s="73"/>
      <c r="G142" s="73"/>
      <c r="H142" s="73"/>
      <c r="I142" s="73"/>
      <c r="J142" s="73" t="s">
        <v>54</v>
      </c>
      <c r="K142" s="73"/>
      <c r="L142" s="73"/>
      <c r="M142" s="73"/>
      <c r="N142" s="73"/>
      <c r="O142" s="67"/>
      <c r="P142" s="67"/>
      <c r="Q142" s="73"/>
      <c r="R142" s="83"/>
      <c r="S142" s="74"/>
      <c r="T142" s="67"/>
      <c r="U142" s="67"/>
      <c r="V142" s="67"/>
      <c r="W142" s="67"/>
      <c r="X142" s="67"/>
      <c r="Y142" s="409"/>
      <c r="Z142" s="409"/>
      <c r="AA142" s="409"/>
      <c r="AB142" s="409"/>
      <c r="AC142" s="409"/>
      <c r="AD142" s="409"/>
      <c r="AE142" s="409"/>
      <c r="AF142" s="410"/>
      <c r="AG142" s="411"/>
      <c r="AH142" s="84" t="s">
        <v>55</v>
      </c>
      <c r="AI142" s="67"/>
      <c r="AJ142" s="67"/>
      <c r="AK142" s="67"/>
      <c r="AL142" s="67"/>
      <c r="AM142" s="67"/>
      <c r="AN142" s="67"/>
      <c r="AO142" s="85"/>
      <c r="AP142" s="67"/>
      <c r="AQ142" s="81"/>
    </row>
    <row r="143" spans="2:43" ht="13.5" customHeight="1" thickBot="1" x14ac:dyDescent="0.3">
      <c r="B143" s="74"/>
      <c r="C143" s="80"/>
      <c r="D143" s="68"/>
      <c r="E143" s="78" t="s">
        <v>8</v>
      </c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412" t="s">
        <v>56</v>
      </c>
      <c r="R143" s="68"/>
      <c r="S143" s="68"/>
      <c r="T143" s="78" t="s">
        <v>7</v>
      </c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9"/>
      <c r="AF143" s="415" t="s">
        <v>56</v>
      </c>
      <c r="AG143" s="74"/>
      <c r="AH143" s="86" t="s">
        <v>57</v>
      </c>
      <c r="AI143" s="73"/>
      <c r="AJ143" s="73"/>
      <c r="AK143" s="73"/>
      <c r="AL143" s="73"/>
      <c r="AM143" s="73"/>
      <c r="AN143" s="73"/>
      <c r="AO143" s="87"/>
      <c r="AP143" s="67"/>
      <c r="AQ143" s="81"/>
    </row>
    <row r="144" spans="2:43" ht="12" customHeight="1" thickBot="1" x14ac:dyDescent="0.25">
      <c r="B144" s="74"/>
      <c r="C144" s="80"/>
      <c r="D144" s="418">
        <f>IF(($AU$9+4)&gt;$AX$9,"",VLOOKUP($AU$9+4,Spielplan,7,0))</f>
        <v>0</v>
      </c>
      <c r="E144" s="419"/>
      <c r="F144" s="419"/>
      <c r="G144" s="419"/>
      <c r="H144" s="419"/>
      <c r="I144" s="419"/>
      <c r="J144" s="419"/>
      <c r="K144" s="419"/>
      <c r="L144" s="419"/>
      <c r="M144" s="419"/>
      <c r="N144" s="419"/>
      <c r="O144" s="419"/>
      <c r="P144" s="420"/>
      <c r="Q144" s="413"/>
      <c r="R144" s="74"/>
      <c r="S144" s="418">
        <f>IF(($AU$9+4)&gt;$AX$9,"",VLOOKUP($AU$9+4,Spielplan,9,0))</f>
        <v>0</v>
      </c>
      <c r="T144" s="419"/>
      <c r="U144" s="419"/>
      <c r="V144" s="419"/>
      <c r="W144" s="419"/>
      <c r="X144" s="419"/>
      <c r="Y144" s="419"/>
      <c r="Z144" s="419"/>
      <c r="AA144" s="419"/>
      <c r="AB144" s="419"/>
      <c r="AC144" s="419"/>
      <c r="AD144" s="419"/>
      <c r="AE144" s="429"/>
      <c r="AF144" s="416"/>
      <c r="AG144" s="74"/>
      <c r="AH144" s="394" t="s">
        <v>58</v>
      </c>
      <c r="AI144" s="395"/>
      <c r="AJ144" s="395"/>
      <c r="AK144" s="395"/>
      <c r="AL144" s="395"/>
      <c r="AM144" s="396"/>
      <c r="AN144" s="88" t="s">
        <v>59</v>
      </c>
      <c r="AO144" s="89"/>
      <c r="AP144" s="89"/>
      <c r="AQ144" s="87"/>
    </row>
    <row r="145" spans="2:49" ht="12" customHeight="1" thickBot="1" x14ac:dyDescent="0.25">
      <c r="B145" s="72"/>
      <c r="C145" s="85"/>
      <c r="D145" s="426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8"/>
      <c r="Q145" s="414"/>
      <c r="R145" s="72"/>
      <c r="S145" s="426"/>
      <c r="T145" s="427"/>
      <c r="U145" s="427"/>
      <c r="V145" s="427"/>
      <c r="W145" s="427"/>
      <c r="X145" s="427"/>
      <c r="Y145" s="427"/>
      <c r="Z145" s="427"/>
      <c r="AA145" s="427"/>
      <c r="AB145" s="427"/>
      <c r="AC145" s="427"/>
      <c r="AD145" s="427"/>
      <c r="AE145" s="389"/>
      <c r="AF145" s="417"/>
      <c r="AG145" s="72"/>
      <c r="AH145" s="397"/>
      <c r="AI145" s="398"/>
      <c r="AJ145" s="398"/>
      <c r="AK145" s="398"/>
      <c r="AL145" s="398"/>
      <c r="AM145" s="399"/>
      <c r="AN145" s="88" t="s">
        <v>60</v>
      </c>
      <c r="AO145" s="89"/>
      <c r="AP145" s="89"/>
      <c r="AQ145" s="87"/>
      <c r="AU145" s="53"/>
      <c r="AV145" s="53"/>
      <c r="AW145" s="53"/>
    </row>
    <row r="146" spans="2:49" ht="9.9499999999999993" customHeight="1" thickBot="1" x14ac:dyDescent="0.25">
      <c r="B146" s="74"/>
      <c r="C146" s="7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81"/>
      <c r="AU146" s="53"/>
      <c r="AV146" s="53"/>
      <c r="AW146" s="53"/>
    </row>
    <row r="147" spans="2:49" x14ac:dyDescent="0.2">
      <c r="B147" s="68"/>
      <c r="C147" s="77" t="s">
        <v>59</v>
      </c>
      <c r="D147" s="90"/>
      <c r="E147" s="91"/>
      <c r="F147" s="91"/>
      <c r="G147" s="91"/>
      <c r="H147" s="92"/>
      <c r="I147" s="90"/>
      <c r="J147" s="91"/>
      <c r="K147" s="91"/>
      <c r="L147" s="91"/>
      <c r="M147" s="92"/>
      <c r="N147" s="90"/>
      <c r="O147" s="91"/>
      <c r="P147" s="91"/>
      <c r="Q147" s="91"/>
      <c r="R147" s="92"/>
      <c r="S147" s="90"/>
      <c r="T147" s="91"/>
      <c r="U147" s="91"/>
      <c r="V147" s="91"/>
      <c r="W147" s="92"/>
      <c r="X147" s="90"/>
      <c r="Y147" s="91"/>
      <c r="Z147" s="91"/>
      <c r="AA147" s="91"/>
      <c r="AB147" s="92"/>
      <c r="AC147" s="90"/>
      <c r="AD147" s="91"/>
      <c r="AE147" s="91"/>
      <c r="AF147" s="91"/>
      <c r="AG147" s="92"/>
      <c r="AH147" s="90"/>
      <c r="AI147" s="91"/>
      <c r="AJ147" s="91"/>
      <c r="AK147" s="91"/>
      <c r="AL147" s="91"/>
      <c r="AM147" s="206" t="s">
        <v>59</v>
      </c>
      <c r="AN147" s="392"/>
      <c r="AO147" s="392"/>
      <c r="AP147" s="392"/>
      <c r="AQ147" s="393"/>
      <c r="AU147" s="53"/>
      <c r="AV147" s="53"/>
      <c r="AW147" s="53"/>
    </row>
    <row r="148" spans="2:49" ht="13.5" thickBot="1" x14ac:dyDescent="0.25">
      <c r="B148" s="72"/>
      <c r="C148" s="85" t="s">
        <v>60</v>
      </c>
      <c r="D148" s="72"/>
      <c r="E148" s="93"/>
      <c r="F148" s="93"/>
      <c r="G148" s="93"/>
      <c r="H148" s="94"/>
      <c r="I148" s="72"/>
      <c r="J148" s="93"/>
      <c r="K148" s="93"/>
      <c r="L148" s="93"/>
      <c r="M148" s="94"/>
      <c r="N148" s="72"/>
      <c r="O148" s="93"/>
      <c r="P148" s="93"/>
      <c r="Q148" s="93"/>
      <c r="R148" s="94"/>
      <c r="S148" s="72"/>
      <c r="T148" s="93"/>
      <c r="U148" s="93"/>
      <c r="V148" s="93"/>
      <c r="W148" s="94"/>
      <c r="X148" s="72"/>
      <c r="Y148" s="93"/>
      <c r="Z148" s="93"/>
      <c r="AA148" s="93"/>
      <c r="AB148" s="94"/>
      <c r="AC148" s="72"/>
      <c r="AD148" s="93"/>
      <c r="AE148" s="93"/>
      <c r="AF148" s="93"/>
      <c r="AG148" s="94"/>
      <c r="AH148" s="72"/>
      <c r="AI148" s="93"/>
      <c r="AJ148" s="93"/>
      <c r="AK148" s="93"/>
      <c r="AL148" s="93"/>
      <c r="AM148" s="208" t="s">
        <v>60</v>
      </c>
      <c r="AN148" s="326"/>
      <c r="AO148" s="326"/>
      <c r="AP148" s="326"/>
      <c r="AQ148" s="327"/>
      <c r="AU148" s="53"/>
      <c r="AV148" s="53"/>
      <c r="AW148" s="53"/>
    </row>
    <row r="149" spans="2:49" x14ac:dyDescent="0.2">
      <c r="B149" s="68"/>
      <c r="C149" s="77" t="s">
        <v>59</v>
      </c>
      <c r="D149" s="90"/>
      <c r="E149" s="91"/>
      <c r="F149" s="91"/>
      <c r="G149" s="91"/>
      <c r="H149" s="92"/>
      <c r="I149" s="90"/>
      <c r="J149" s="91"/>
      <c r="K149" s="91"/>
      <c r="L149" s="91"/>
      <c r="M149" s="92"/>
      <c r="N149" s="90"/>
      <c r="O149" s="91"/>
      <c r="P149" s="91"/>
      <c r="Q149" s="91"/>
      <c r="R149" s="92"/>
      <c r="S149" s="90"/>
      <c r="T149" s="91"/>
      <c r="U149" s="91"/>
      <c r="V149" s="91"/>
      <c r="W149" s="92"/>
      <c r="X149" s="90"/>
      <c r="Y149" s="91"/>
      <c r="Z149" s="91"/>
      <c r="AA149" s="91"/>
      <c r="AB149" s="92"/>
      <c r="AC149" s="90"/>
      <c r="AD149" s="91"/>
      <c r="AE149" s="91"/>
      <c r="AF149" s="91"/>
      <c r="AG149" s="92"/>
      <c r="AH149" s="90"/>
      <c r="AI149" s="91"/>
      <c r="AJ149" s="91"/>
      <c r="AK149" s="91"/>
      <c r="AL149" s="91"/>
      <c r="AM149" s="206" t="s">
        <v>59</v>
      </c>
      <c r="AN149" s="392"/>
      <c r="AO149" s="392"/>
      <c r="AP149" s="392"/>
      <c r="AQ149" s="393"/>
      <c r="AU149" s="53"/>
      <c r="AV149" s="53"/>
      <c r="AW149" s="53"/>
    </row>
    <row r="150" spans="2:49" ht="13.5" thickBot="1" x14ac:dyDescent="0.25">
      <c r="B150" s="72"/>
      <c r="C150" s="85" t="s">
        <v>60</v>
      </c>
      <c r="D150" s="72"/>
      <c r="E150" s="93"/>
      <c r="F150" s="93"/>
      <c r="G150" s="93"/>
      <c r="H150" s="94"/>
      <c r="I150" s="72"/>
      <c r="J150" s="93"/>
      <c r="K150" s="93"/>
      <c r="L150" s="93"/>
      <c r="M150" s="94"/>
      <c r="N150" s="72"/>
      <c r="O150" s="93"/>
      <c r="P150" s="93"/>
      <c r="Q150" s="93"/>
      <c r="R150" s="94"/>
      <c r="S150" s="72"/>
      <c r="T150" s="93"/>
      <c r="U150" s="93"/>
      <c r="V150" s="93"/>
      <c r="W150" s="94"/>
      <c r="X150" s="72"/>
      <c r="Y150" s="93"/>
      <c r="Z150" s="93"/>
      <c r="AA150" s="93"/>
      <c r="AB150" s="94"/>
      <c r="AC150" s="72"/>
      <c r="AD150" s="93"/>
      <c r="AE150" s="93"/>
      <c r="AF150" s="93"/>
      <c r="AG150" s="94"/>
      <c r="AH150" s="72"/>
      <c r="AI150" s="93"/>
      <c r="AJ150" s="93"/>
      <c r="AK150" s="93"/>
      <c r="AL150" s="93"/>
      <c r="AM150" s="207" t="s">
        <v>60</v>
      </c>
      <c r="AN150" s="347"/>
      <c r="AO150" s="347"/>
      <c r="AP150" s="347"/>
      <c r="AQ150" s="348"/>
      <c r="AU150" s="53"/>
      <c r="AV150" s="53"/>
      <c r="AW150" s="53"/>
    </row>
    <row r="151" spans="2:49" x14ac:dyDescent="0.2">
      <c r="B151" s="68"/>
      <c r="C151" s="77" t="s">
        <v>59</v>
      </c>
      <c r="D151" s="90"/>
      <c r="E151" s="91"/>
      <c r="F151" s="91"/>
      <c r="G151" s="91"/>
      <c r="H151" s="92"/>
      <c r="I151" s="90"/>
      <c r="J151" s="91"/>
      <c r="K151" s="91"/>
      <c r="L151" s="91"/>
      <c r="M151" s="92"/>
      <c r="N151" s="90"/>
      <c r="O151" s="91"/>
      <c r="P151" s="91"/>
      <c r="Q151" s="91"/>
      <c r="R151" s="92"/>
      <c r="S151" s="90"/>
      <c r="T151" s="91"/>
      <c r="U151" s="91"/>
      <c r="V151" s="91"/>
      <c r="W151" s="92"/>
      <c r="X151" s="90"/>
      <c r="Y151" s="91"/>
      <c r="Z151" s="91"/>
      <c r="AA151" s="91"/>
      <c r="AB151" s="92"/>
      <c r="AC151" s="90"/>
      <c r="AD151" s="91"/>
      <c r="AE151" s="91"/>
      <c r="AF151" s="91"/>
      <c r="AG151" s="92"/>
      <c r="AH151" s="90"/>
      <c r="AI151" s="91"/>
      <c r="AJ151" s="91"/>
      <c r="AK151" s="91"/>
      <c r="AL151" s="91"/>
      <c r="AM151" s="206" t="s">
        <v>59</v>
      </c>
      <c r="AN151" s="392"/>
      <c r="AO151" s="392"/>
      <c r="AP151" s="392"/>
      <c r="AQ151" s="393"/>
      <c r="AU151" s="53"/>
      <c r="AV151" s="53"/>
      <c r="AW151" s="53"/>
    </row>
    <row r="152" spans="2:49" ht="13.5" thickBot="1" x14ac:dyDescent="0.25">
      <c r="B152" s="72"/>
      <c r="C152" s="85" t="s">
        <v>60</v>
      </c>
      <c r="D152" s="72"/>
      <c r="E152" s="93"/>
      <c r="F152" s="93"/>
      <c r="G152" s="93"/>
      <c r="H152" s="94"/>
      <c r="I152" s="72"/>
      <c r="J152" s="93"/>
      <c r="K152" s="93"/>
      <c r="L152" s="93"/>
      <c r="M152" s="94"/>
      <c r="N152" s="72"/>
      <c r="O152" s="93"/>
      <c r="P152" s="93"/>
      <c r="Q152" s="93"/>
      <c r="R152" s="94"/>
      <c r="S152" s="72"/>
      <c r="T152" s="93"/>
      <c r="U152" s="93"/>
      <c r="V152" s="93"/>
      <c r="W152" s="94"/>
      <c r="X152" s="72"/>
      <c r="Y152" s="93"/>
      <c r="Z152" s="93"/>
      <c r="AA152" s="93"/>
      <c r="AB152" s="94"/>
      <c r="AC152" s="72"/>
      <c r="AD152" s="93"/>
      <c r="AE152" s="93"/>
      <c r="AF152" s="93"/>
      <c r="AG152" s="94"/>
      <c r="AH152" s="72"/>
      <c r="AI152" s="93"/>
      <c r="AJ152" s="93"/>
      <c r="AK152" s="93"/>
      <c r="AL152" s="93"/>
      <c r="AM152" s="207" t="s">
        <v>60</v>
      </c>
      <c r="AN152" s="347"/>
      <c r="AO152" s="347"/>
      <c r="AP152" s="347"/>
      <c r="AQ152" s="348"/>
      <c r="AU152" s="53"/>
      <c r="AV152" s="53"/>
      <c r="AW152" s="53"/>
    </row>
    <row r="153" spans="2:49" ht="9.9499999999999993" customHeight="1" x14ac:dyDescent="0.2">
      <c r="B153" s="74"/>
      <c r="C153" s="74"/>
      <c r="D153" s="378" t="s">
        <v>61</v>
      </c>
      <c r="E153" s="379"/>
      <c r="F153" s="380"/>
      <c r="G153" s="384" t="s">
        <v>62</v>
      </c>
      <c r="H153" s="385"/>
      <c r="I153" s="385"/>
      <c r="J153" s="385"/>
      <c r="K153" s="385"/>
      <c r="L153" s="385"/>
      <c r="M153" s="385"/>
      <c r="N153" s="385"/>
      <c r="O153" s="386"/>
      <c r="P153" s="390" t="s">
        <v>56</v>
      </c>
      <c r="Q153" s="390" t="s">
        <v>63</v>
      </c>
      <c r="R153" s="67"/>
      <c r="S153" s="378" t="s">
        <v>61</v>
      </c>
      <c r="T153" s="379"/>
      <c r="U153" s="380"/>
      <c r="V153" s="384" t="s">
        <v>62</v>
      </c>
      <c r="W153" s="385"/>
      <c r="X153" s="385"/>
      <c r="Y153" s="385"/>
      <c r="Z153" s="385"/>
      <c r="AA153" s="385"/>
      <c r="AB153" s="385"/>
      <c r="AC153" s="385"/>
      <c r="AD153" s="386"/>
      <c r="AE153" s="390" t="s">
        <v>56</v>
      </c>
      <c r="AF153" s="390" t="s">
        <v>63</v>
      </c>
      <c r="AG153" s="95"/>
      <c r="AH153" s="96"/>
      <c r="AI153" s="96"/>
      <c r="AJ153" s="96"/>
      <c r="AK153" s="96"/>
      <c r="AL153" s="96"/>
      <c r="AM153" s="114"/>
      <c r="AN153" s="377" t="s">
        <v>1</v>
      </c>
      <c r="AO153" s="377"/>
      <c r="AP153" s="377" t="s">
        <v>2</v>
      </c>
      <c r="AQ153" s="377"/>
      <c r="AR153" s="97"/>
      <c r="AU153" s="53"/>
      <c r="AV153" s="53"/>
      <c r="AW153" s="53"/>
    </row>
    <row r="154" spans="2:49" ht="13.5" thickBot="1" x14ac:dyDescent="0.25">
      <c r="B154" s="74"/>
      <c r="C154" s="74"/>
      <c r="D154" s="381"/>
      <c r="E154" s="382"/>
      <c r="F154" s="383"/>
      <c r="G154" s="387"/>
      <c r="H154" s="388"/>
      <c r="I154" s="388"/>
      <c r="J154" s="388"/>
      <c r="K154" s="388"/>
      <c r="L154" s="388"/>
      <c r="M154" s="388"/>
      <c r="N154" s="388"/>
      <c r="O154" s="389"/>
      <c r="P154" s="391"/>
      <c r="Q154" s="391"/>
      <c r="R154" s="67"/>
      <c r="S154" s="381"/>
      <c r="T154" s="382"/>
      <c r="U154" s="383"/>
      <c r="V154" s="387"/>
      <c r="W154" s="388"/>
      <c r="X154" s="388"/>
      <c r="Y154" s="388"/>
      <c r="Z154" s="388"/>
      <c r="AA154" s="388"/>
      <c r="AB154" s="388"/>
      <c r="AC154" s="388"/>
      <c r="AD154" s="389"/>
      <c r="AE154" s="391"/>
      <c r="AF154" s="391"/>
      <c r="AG154" s="98"/>
      <c r="AH154" s="67"/>
      <c r="AI154" s="99" t="s">
        <v>64</v>
      </c>
      <c r="AJ154" s="99"/>
      <c r="AK154" s="99"/>
      <c r="AL154" s="99"/>
      <c r="AM154" s="99"/>
      <c r="AN154" s="99"/>
      <c r="AO154" s="100"/>
      <c r="AP154" s="100"/>
      <c r="AQ154" s="101"/>
      <c r="AR154" s="97"/>
      <c r="AU154" s="53"/>
      <c r="AV154" s="53"/>
      <c r="AW154" s="53"/>
    </row>
    <row r="155" spans="2:49" ht="13.5" customHeight="1" x14ac:dyDescent="0.2">
      <c r="B155" s="74"/>
      <c r="C155" s="74"/>
      <c r="D155" s="216"/>
      <c r="E155" s="209"/>
      <c r="F155" s="210"/>
      <c r="G155" s="211" t="s">
        <v>65</v>
      </c>
      <c r="H155" s="212"/>
      <c r="I155" s="212"/>
      <c r="J155" s="212"/>
      <c r="K155" s="212"/>
      <c r="L155" s="212"/>
      <c r="M155" s="212"/>
      <c r="N155" s="212"/>
      <c r="O155" s="213"/>
      <c r="P155" s="214"/>
      <c r="Q155" s="214"/>
      <c r="R155" s="215"/>
      <c r="S155" s="216"/>
      <c r="T155" s="209"/>
      <c r="U155" s="210"/>
      <c r="V155" s="211" t="s">
        <v>65</v>
      </c>
      <c r="W155" s="212"/>
      <c r="X155" s="212"/>
      <c r="Y155" s="212"/>
      <c r="Z155" s="212"/>
      <c r="AA155" s="212"/>
      <c r="AB155" s="212"/>
      <c r="AC155" s="212"/>
      <c r="AD155" s="213"/>
      <c r="AE155" s="214"/>
      <c r="AF155" s="214"/>
      <c r="AG155" s="365" t="s">
        <v>83</v>
      </c>
      <c r="AH155" s="366"/>
      <c r="AI155" s="366"/>
      <c r="AJ155" s="367"/>
      <c r="AK155" s="371" t="s">
        <v>66</v>
      </c>
      <c r="AL155" s="372"/>
      <c r="AM155" s="372"/>
      <c r="AN155" s="372"/>
      <c r="AO155" s="372"/>
      <c r="AP155" s="372"/>
      <c r="AQ155" s="373"/>
      <c r="AU155" s="53"/>
      <c r="AV155" s="53"/>
      <c r="AW155" s="53"/>
    </row>
    <row r="156" spans="2:49" ht="13.5" customHeight="1" thickBot="1" x14ac:dyDescent="0.25">
      <c r="B156" s="74"/>
      <c r="C156" s="74"/>
      <c r="D156" s="216"/>
      <c r="E156" s="209"/>
      <c r="F156" s="210"/>
      <c r="G156" s="217">
        <v>2</v>
      </c>
      <c r="H156" s="209"/>
      <c r="I156" s="209"/>
      <c r="J156" s="209"/>
      <c r="K156" s="209"/>
      <c r="L156" s="209"/>
      <c r="M156" s="209"/>
      <c r="N156" s="209"/>
      <c r="O156" s="210"/>
      <c r="P156" s="214"/>
      <c r="Q156" s="214"/>
      <c r="R156" s="215"/>
      <c r="S156" s="216"/>
      <c r="T156" s="209"/>
      <c r="U156" s="210"/>
      <c r="V156" s="217">
        <v>2</v>
      </c>
      <c r="W156" s="209"/>
      <c r="X156" s="209"/>
      <c r="Y156" s="209"/>
      <c r="Z156" s="209"/>
      <c r="AA156" s="209"/>
      <c r="AB156" s="209"/>
      <c r="AC156" s="209"/>
      <c r="AD156" s="210"/>
      <c r="AE156" s="214"/>
      <c r="AF156" s="214"/>
      <c r="AG156" s="368"/>
      <c r="AH156" s="369"/>
      <c r="AI156" s="369"/>
      <c r="AJ156" s="370"/>
      <c r="AK156" s="374"/>
      <c r="AL156" s="375"/>
      <c r="AM156" s="375"/>
      <c r="AN156" s="375"/>
      <c r="AO156" s="375"/>
      <c r="AP156" s="375"/>
      <c r="AQ156" s="376"/>
      <c r="AU156" s="53"/>
      <c r="AV156" s="53"/>
      <c r="AW156" s="53"/>
    </row>
    <row r="157" spans="2:49" ht="13.5" customHeight="1" x14ac:dyDescent="0.2">
      <c r="B157" s="74"/>
      <c r="C157" s="74"/>
      <c r="D157" s="216"/>
      <c r="E157" s="209"/>
      <c r="F157" s="210"/>
      <c r="G157" s="217">
        <v>3</v>
      </c>
      <c r="H157" s="209"/>
      <c r="I157" s="209"/>
      <c r="J157" s="209"/>
      <c r="K157" s="209"/>
      <c r="L157" s="209"/>
      <c r="M157" s="209"/>
      <c r="N157" s="209"/>
      <c r="O157" s="210"/>
      <c r="P157" s="214"/>
      <c r="Q157" s="214"/>
      <c r="R157" s="215"/>
      <c r="S157" s="216"/>
      <c r="T157" s="209"/>
      <c r="U157" s="210"/>
      <c r="V157" s="217">
        <v>3</v>
      </c>
      <c r="W157" s="209"/>
      <c r="X157" s="209"/>
      <c r="Y157" s="209"/>
      <c r="Z157" s="209"/>
      <c r="AA157" s="209"/>
      <c r="AB157" s="209"/>
      <c r="AC157" s="209"/>
      <c r="AD157" s="210"/>
      <c r="AE157" s="214"/>
      <c r="AF157" s="214"/>
      <c r="AG157" s="365" t="s">
        <v>2</v>
      </c>
      <c r="AH157" s="366"/>
      <c r="AI157" s="366"/>
      <c r="AJ157" s="367"/>
      <c r="AK157" s="371" t="s">
        <v>66</v>
      </c>
      <c r="AL157" s="372"/>
      <c r="AM157" s="372"/>
      <c r="AN157" s="372"/>
      <c r="AO157" s="372"/>
      <c r="AP157" s="372"/>
      <c r="AQ157" s="373"/>
      <c r="AU157" s="53"/>
      <c r="AV157" s="53"/>
      <c r="AW157" s="53"/>
    </row>
    <row r="158" spans="2:49" ht="13.5" customHeight="1" thickBot="1" x14ac:dyDescent="0.25">
      <c r="B158" s="74"/>
      <c r="C158" s="74"/>
      <c r="D158" s="216"/>
      <c r="E158" s="209"/>
      <c r="F158" s="210"/>
      <c r="G158" s="217">
        <v>4</v>
      </c>
      <c r="H158" s="209"/>
      <c r="I158" s="209"/>
      <c r="J158" s="209"/>
      <c r="K158" s="209"/>
      <c r="L158" s="209"/>
      <c r="M158" s="209"/>
      <c r="N158" s="209"/>
      <c r="O158" s="210"/>
      <c r="P158" s="214"/>
      <c r="Q158" s="214"/>
      <c r="R158" s="215"/>
      <c r="S158" s="216"/>
      <c r="T158" s="209"/>
      <c r="U158" s="210"/>
      <c r="V158" s="217">
        <v>4</v>
      </c>
      <c r="W158" s="209"/>
      <c r="X158" s="209"/>
      <c r="Y158" s="209"/>
      <c r="Z158" s="209"/>
      <c r="AA158" s="209"/>
      <c r="AB158" s="209"/>
      <c r="AC158" s="209"/>
      <c r="AD158" s="210"/>
      <c r="AE158" s="214"/>
      <c r="AF158" s="214"/>
      <c r="AG158" s="368"/>
      <c r="AH158" s="369"/>
      <c r="AI158" s="369"/>
      <c r="AJ158" s="370"/>
      <c r="AK158" s="374"/>
      <c r="AL158" s="375"/>
      <c r="AM158" s="375"/>
      <c r="AN158" s="375"/>
      <c r="AO158" s="375"/>
      <c r="AP158" s="375"/>
      <c r="AQ158" s="376"/>
      <c r="AU158" s="53"/>
      <c r="AV158" s="53"/>
      <c r="AW158" s="53"/>
    </row>
    <row r="159" spans="2:49" ht="13.5" customHeight="1" x14ac:dyDescent="0.2">
      <c r="B159" s="74"/>
      <c r="C159" s="74"/>
      <c r="D159" s="216"/>
      <c r="E159" s="209"/>
      <c r="F159" s="210"/>
      <c r="G159" s="217">
        <v>5</v>
      </c>
      <c r="H159" s="209"/>
      <c r="I159" s="209"/>
      <c r="J159" s="209"/>
      <c r="K159" s="209"/>
      <c r="L159" s="209"/>
      <c r="M159" s="209"/>
      <c r="N159" s="209"/>
      <c r="O159" s="210"/>
      <c r="P159" s="214"/>
      <c r="Q159" s="214"/>
      <c r="R159" s="215"/>
      <c r="S159" s="216"/>
      <c r="T159" s="209"/>
      <c r="U159" s="210"/>
      <c r="V159" s="217">
        <v>5</v>
      </c>
      <c r="W159" s="209"/>
      <c r="X159" s="209"/>
      <c r="Y159" s="209"/>
      <c r="Z159" s="209"/>
      <c r="AA159" s="209"/>
      <c r="AB159" s="209"/>
      <c r="AC159" s="209"/>
      <c r="AD159" s="210"/>
      <c r="AE159" s="214"/>
      <c r="AF159" s="214"/>
      <c r="AG159" s="102" t="s">
        <v>67</v>
      </c>
      <c r="AH159" s="70"/>
      <c r="AI159" s="70"/>
      <c r="AJ159" s="70"/>
      <c r="AK159" s="70"/>
      <c r="AL159" s="70"/>
      <c r="AM159" s="70"/>
      <c r="AN159" s="70"/>
      <c r="AO159" s="70" t="s">
        <v>68</v>
      </c>
      <c r="AP159" s="70"/>
      <c r="AQ159" s="79"/>
      <c r="AU159" s="53"/>
      <c r="AV159" s="53"/>
      <c r="AW159" s="53"/>
    </row>
    <row r="160" spans="2:49" ht="13.5" customHeight="1" x14ac:dyDescent="0.2">
      <c r="B160" s="74"/>
      <c r="C160" s="74"/>
      <c r="D160" s="216"/>
      <c r="E160" s="209"/>
      <c r="F160" s="210"/>
      <c r="G160" s="217">
        <v>6</v>
      </c>
      <c r="H160" s="209"/>
      <c r="I160" s="209"/>
      <c r="J160" s="209"/>
      <c r="K160" s="209"/>
      <c r="L160" s="209"/>
      <c r="M160" s="209"/>
      <c r="N160" s="209"/>
      <c r="O160" s="210"/>
      <c r="P160" s="214"/>
      <c r="Q160" s="214"/>
      <c r="R160" s="215"/>
      <c r="S160" s="216"/>
      <c r="T160" s="209"/>
      <c r="U160" s="210"/>
      <c r="V160" s="217">
        <v>6</v>
      </c>
      <c r="W160" s="209"/>
      <c r="X160" s="209"/>
      <c r="Y160" s="209"/>
      <c r="Z160" s="209"/>
      <c r="AA160" s="209"/>
      <c r="AB160" s="209"/>
      <c r="AC160" s="209"/>
      <c r="AD160" s="210"/>
      <c r="AE160" s="214"/>
      <c r="AF160" s="214"/>
      <c r="AG160" s="103"/>
      <c r="AH160" s="67"/>
      <c r="AI160" s="67"/>
      <c r="AJ160" s="67"/>
      <c r="AK160" s="67"/>
      <c r="AL160" s="67"/>
      <c r="AM160" s="67"/>
      <c r="AN160" s="67"/>
      <c r="AO160" s="67"/>
      <c r="AP160" s="67"/>
      <c r="AQ160" s="81"/>
      <c r="AU160" s="53"/>
      <c r="AV160" s="53"/>
      <c r="AW160" s="53"/>
    </row>
    <row r="161" spans="2:49" ht="13.5" customHeight="1" thickBot="1" x14ac:dyDescent="0.25">
      <c r="B161" s="74"/>
      <c r="C161" s="74"/>
      <c r="D161" s="216"/>
      <c r="E161" s="209"/>
      <c r="F161" s="210"/>
      <c r="G161" s="217">
        <v>7</v>
      </c>
      <c r="H161" s="209"/>
      <c r="I161" s="209"/>
      <c r="J161" s="209"/>
      <c r="K161" s="209"/>
      <c r="L161" s="209"/>
      <c r="M161" s="209"/>
      <c r="N161" s="209"/>
      <c r="O161" s="210"/>
      <c r="P161" s="214"/>
      <c r="Q161" s="214"/>
      <c r="R161" s="215"/>
      <c r="S161" s="216"/>
      <c r="T161" s="209"/>
      <c r="U161" s="210"/>
      <c r="V161" s="217">
        <v>7</v>
      </c>
      <c r="W161" s="209"/>
      <c r="X161" s="209"/>
      <c r="Y161" s="209"/>
      <c r="Z161" s="209"/>
      <c r="AA161" s="209"/>
      <c r="AB161" s="209"/>
      <c r="AC161" s="209"/>
      <c r="AD161" s="210"/>
      <c r="AE161" s="214"/>
      <c r="AF161" s="214"/>
      <c r="AG161" s="74" t="s">
        <v>69</v>
      </c>
      <c r="AH161" s="67"/>
      <c r="AI161" s="67"/>
      <c r="AJ161" s="67"/>
      <c r="AK161" s="67"/>
      <c r="AL161" s="67"/>
      <c r="AM161" s="67"/>
      <c r="AN161" s="67"/>
      <c r="AO161" s="67"/>
      <c r="AP161" s="67"/>
      <c r="AQ161" s="81"/>
      <c r="AU161" s="53"/>
      <c r="AV161" s="53"/>
      <c r="AW161" s="53"/>
    </row>
    <row r="162" spans="2:49" ht="13.5" customHeight="1" thickBot="1" x14ac:dyDescent="0.25">
      <c r="B162" s="74"/>
      <c r="C162" s="74"/>
      <c r="D162" s="222"/>
      <c r="E162" s="218"/>
      <c r="F162" s="219"/>
      <c r="G162" s="220">
        <v>8</v>
      </c>
      <c r="H162" s="218"/>
      <c r="I162" s="218"/>
      <c r="J162" s="218"/>
      <c r="K162" s="218"/>
      <c r="L162" s="218"/>
      <c r="M162" s="218"/>
      <c r="N162" s="218"/>
      <c r="O162" s="219"/>
      <c r="P162" s="221"/>
      <c r="Q162" s="221"/>
      <c r="R162" s="215"/>
      <c r="S162" s="222"/>
      <c r="T162" s="218"/>
      <c r="U162" s="219"/>
      <c r="V162" s="220">
        <v>8</v>
      </c>
      <c r="W162" s="218"/>
      <c r="X162" s="218"/>
      <c r="Y162" s="218"/>
      <c r="Z162" s="218"/>
      <c r="AA162" s="218"/>
      <c r="AB162" s="218"/>
      <c r="AC162" s="218"/>
      <c r="AD162" s="219"/>
      <c r="AE162" s="221"/>
      <c r="AF162" s="221"/>
      <c r="AG162" s="104" t="s">
        <v>70</v>
      </c>
      <c r="AH162" s="70"/>
      <c r="AI162" s="70"/>
      <c r="AJ162" s="70"/>
      <c r="AK162" s="70"/>
      <c r="AL162" s="70"/>
      <c r="AM162" s="70"/>
      <c r="AN162" s="70"/>
      <c r="AO162" s="70"/>
      <c r="AP162" s="70"/>
      <c r="AQ162" s="79"/>
      <c r="AU162" s="53"/>
      <c r="AV162" s="53"/>
      <c r="AW162" s="53"/>
    </row>
    <row r="163" spans="2:49" ht="13.5" customHeight="1" thickBot="1" x14ac:dyDescent="0.25">
      <c r="B163" s="74"/>
      <c r="C163" s="74"/>
      <c r="D163" s="89"/>
      <c r="E163" s="105"/>
      <c r="F163" s="105"/>
      <c r="G163" s="105"/>
      <c r="H163" s="105"/>
      <c r="I163" s="105"/>
      <c r="J163" s="106" t="s">
        <v>71</v>
      </c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7"/>
      <c r="AG163" s="84" t="s">
        <v>72</v>
      </c>
      <c r="AH163" s="67"/>
      <c r="AI163" s="67"/>
      <c r="AJ163" s="67"/>
      <c r="AK163" s="67"/>
      <c r="AL163" s="67"/>
      <c r="AM163" s="67"/>
      <c r="AN163" s="67"/>
      <c r="AO163" s="67"/>
      <c r="AP163" s="67"/>
      <c r="AQ163" s="81"/>
      <c r="AU163" s="53"/>
      <c r="AV163" s="53"/>
      <c r="AW163" s="53"/>
    </row>
    <row r="164" spans="2:49" ht="13.5" customHeight="1" thickBot="1" x14ac:dyDescent="0.25">
      <c r="B164" s="74"/>
      <c r="C164" s="74"/>
      <c r="D164" s="108" t="s">
        <v>73</v>
      </c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7"/>
      <c r="S164" s="108" t="s">
        <v>74</v>
      </c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7"/>
      <c r="AG164" s="109" t="s">
        <v>75</v>
      </c>
      <c r="AH164" s="110"/>
      <c r="AI164" s="110"/>
      <c r="AJ164" s="110"/>
      <c r="AK164" s="110"/>
      <c r="AL164" s="87"/>
      <c r="AM164" s="111" t="s">
        <v>76</v>
      </c>
      <c r="AN164" s="110"/>
      <c r="AO164" s="110"/>
      <c r="AP164" s="110"/>
      <c r="AQ164" s="87"/>
      <c r="AU164" s="53"/>
      <c r="AV164" s="53"/>
      <c r="AW164" s="53"/>
    </row>
    <row r="165" spans="2:49" ht="17.25" customHeight="1" thickBot="1" x14ac:dyDescent="0.25">
      <c r="B165" s="72"/>
      <c r="C165" s="72"/>
      <c r="D165" s="108" t="s">
        <v>77</v>
      </c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7"/>
      <c r="S165" s="108" t="s">
        <v>6</v>
      </c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7"/>
      <c r="AG165" s="112" t="s">
        <v>78</v>
      </c>
      <c r="AH165" s="73"/>
      <c r="AI165" s="73"/>
      <c r="AJ165" s="73"/>
      <c r="AK165" s="73"/>
      <c r="AL165" s="87"/>
      <c r="AM165" s="113" t="s">
        <v>79</v>
      </c>
      <c r="AN165" s="73"/>
      <c r="AO165" s="73"/>
      <c r="AP165" s="73"/>
      <c r="AQ165" s="87"/>
      <c r="AU165" s="53"/>
      <c r="AV165" s="53"/>
      <c r="AW165" s="53"/>
    </row>
    <row r="166" spans="2:49" ht="17.25" customHeight="1" thickBot="1" x14ac:dyDescent="0.25">
      <c r="B166" s="67"/>
      <c r="C166" s="67"/>
      <c r="D166" s="114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114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115"/>
      <c r="AH166" s="67"/>
      <c r="AI166" s="67"/>
      <c r="AJ166" s="67"/>
      <c r="AK166" s="67"/>
      <c r="AL166" s="67"/>
      <c r="AM166" s="116"/>
      <c r="AN166" s="67"/>
      <c r="AO166" s="67"/>
      <c r="AP166" s="67"/>
      <c r="AQ166" s="67"/>
      <c r="AU166" s="53"/>
      <c r="AV166" s="53"/>
      <c r="AW166" s="53"/>
    </row>
    <row r="167" spans="2:49" ht="17.25" customHeight="1" x14ac:dyDescent="0.25">
      <c r="B167" s="68"/>
      <c r="C167" s="68"/>
      <c r="D167" s="69" t="s">
        <v>44</v>
      </c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1" t="s">
        <v>89</v>
      </c>
      <c r="Z167" s="70"/>
      <c r="AA167" s="70"/>
      <c r="AB167" s="70"/>
      <c r="AC167" s="70"/>
      <c r="AD167" s="70"/>
      <c r="AE167" s="70"/>
      <c r="AF167" s="70"/>
      <c r="AG167" s="70"/>
      <c r="AH167" s="441" t="s">
        <v>45</v>
      </c>
      <c r="AI167" s="442"/>
      <c r="AJ167" s="442"/>
      <c r="AK167" s="442"/>
      <c r="AL167" s="442"/>
      <c r="AM167" s="443">
        <f>IF(($AU$9+5)&gt;$AX$9,"",VLOOKUP($AU$9+5,Spielplan,3,0))</f>
        <v>7.2916666666666657E-2</v>
      </c>
      <c r="AN167" s="443"/>
      <c r="AO167" s="443"/>
      <c r="AP167" s="443"/>
      <c r="AQ167" s="444"/>
      <c r="AU167" s="53"/>
      <c r="AV167" s="53"/>
      <c r="AW167" s="53"/>
    </row>
    <row r="168" spans="2:49" ht="0.75" customHeight="1" thickBot="1" x14ac:dyDescent="0.25">
      <c r="B168" s="72"/>
      <c r="C168" s="72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4"/>
      <c r="AI168" s="67"/>
      <c r="AJ168" s="67"/>
      <c r="AK168" s="67"/>
      <c r="AL168" s="67"/>
      <c r="AM168" s="75"/>
      <c r="AN168" s="75"/>
      <c r="AO168" s="75"/>
      <c r="AP168" s="75"/>
      <c r="AQ168" s="76"/>
      <c r="AU168" s="53"/>
      <c r="AV168" s="53"/>
      <c r="AW168" s="53"/>
    </row>
    <row r="169" spans="2:49" ht="15" x14ac:dyDescent="0.25">
      <c r="B169" s="68"/>
      <c r="C169" s="77"/>
      <c r="D169" s="68"/>
      <c r="E169" s="78" t="s">
        <v>6</v>
      </c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9"/>
      <c r="S169" s="439" t="s">
        <v>46</v>
      </c>
      <c r="T169" s="440"/>
      <c r="U169" s="440"/>
      <c r="V169" s="440"/>
      <c r="W169" s="440"/>
      <c r="X169" s="440"/>
      <c r="Y169" s="366" t="str">
        <f>IF(($AU$9+5)&gt;$AX$9,"","SHTV")</f>
        <v>SHTV</v>
      </c>
      <c r="Z169" s="366"/>
      <c r="AA169" s="366"/>
      <c r="AB169" s="366"/>
      <c r="AC169" s="366"/>
      <c r="AD169" s="366"/>
      <c r="AE169" s="366"/>
      <c r="AF169" s="366"/>
      <c r="AG169" s="366"/>
      <c r="AH169" s="430" t="s">
        <v>47</v>
      </c>
      <c r="AI169" s="431"/>
      <c r="AJ169" s="431"/>
      <c r="AK169" s="431"/>
      <c r="AL169" s="431"/>
      <c r="AM169" s="434">
        <f>IF(($AU$9+5)&gt;$AX$9,"",VLOOKUP($AU$9+5,Spielplan,4,0))</f>
        <v>4</v>
      </c>
      <c r="AN169" s="435"/>
      <c r="AO169" s="435"/>
      <c r="AP169" s="435"/>
      <c r="AQ169" s="436"/>
      <c r="AU169" s="53"/>
      <c r="AV169" s="53"/>
      <c r="AW169" s="53"/>
    </row>
    <row r="170" spans="2:49" ht="9.9499999999999993" customHeight="1" x14ac:dyDescent="0.2">
      <c r="B170" s="74"/>
      <c r="C170" s="80"/>
      <c r="D170" s="74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81"/>
      <c r="S170" s="423"/>
      <c r="T170" s="406"/>
      <c r="U170" s="406"/>
      <c r="V170" s="406"/>
      <c r="W170" s="406"/>
      <c r="X170" s="406"/>
      <c r="Y170" s="425"/>
      <c r="Z170" s="425"/>
      <c r="AA170" s="425"/>
      <c r="AB170" s="425"/>
      <c r="AC170" s="425"/>
      <c r="AD170" s="425"/>
      <c r="AE170" s="425"/>
      <c r="AF170" s="425"/>
      <c r="AG170" s="425"/>
      <c r="AH170" s="432"/>
      <c r="AI170" s="433"/>
      <c r="AJ170" s="433"/>
      <c r="AK170" s="433"/>
      <c r="AL170" s="433"/>
      <c r="AM170" s="437"/>
      <c r="AN170" s="437"/>
      <c r="AO170" s="437"/>
      <c r="AP170" s="437"/>
      <c r="AQ170" s="438"/>
      <c r="AU170" s="53"/>
      <c r="AV170" s="53"/>
      <c r="AW170" s="53"/>
    </row>
    <row r="171" spans="2:49" ht="13.15" customHeight="1" x14ac:dyDescent="0.2">
      <c r="B171" s="74"/>
      <c r="C171" s="80"/>
      <c r="D171" s="74"/>
      <c r="E171" s="67" t="s">
        <v>48</v>
      </c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81"/>
      <c r="S171" s="422" t="s">
        <v>49</v>
      </c>
      <c r="T171" s="406"/>
      <c r="U171" s="406"/>
      <c r="V171" s="406"/>
      <c r="W171" s="406"/>
      <c r="X171" s="406"/>
      <c r="Y171" s="425">
        <f>IF(($AU$9+5)&gt;$AX$9,"",Platzierung!$U$3)</f>
        <v>0</v>
      </c>
      <c r="Z171" s="425"/>
      <c r="AA171" s="425"/>
      <c r="AB171" s="425"/>
      <c r="AC171" s="425"/>
      <c r="AD171" s="425"/>
      <c r="AE171" s="425"/>
      <c r="AF171" s="425"/>
      <c r="AG171" s="425"/>
      <c r="AH171" s="430" t="s">
        <v>50</v>
      </c>
      <c r="AI171" s="431"/>
      <c r="AJ171" s="431"/>
      <c r="AK171" s="431"/>
      <c r="AL171" s="431"/>
      <c r="AM171" s="434">
        <f>IF(($AU$9+5)&gt;$AX$9,"",VLOOKUP($AU$9+5,Spielplan,6,0))</f>
        <v>6</v>
      </c>
      <c r="AN171" s="435"/>
      <c r="AO171" s="435"/>
      <c r="AP171" s="435"/>
      <c r="AQ171" s="436"/>
      <c r="AU171" s="53"/>
      <c r="AV171" s="53"/>
      <c r="AW171" s="53"/>
    </row>
    <row r="172" spans="2:49" ht="9.9499999999999993" customHeight="1" x14ac:dyDescent="0.2">
      <c r="B172" s="74"/>
      <c r="C172" s="80"/>
      <c r="D172" s="74"/>
      <c r="E172" s="67"/>
      <c r="F172" s="67"/>
      <c r="G172" s="67"/>
      <c r="H172" s="67"/>
      <c r="I172" s="67"/>
      <c r="J172" s="82" t="s">
        <v>51</v>
      </c>
      <c r="K172" s="67"/>
      <c r="L172" s="67"/>
      <c r="M172" s="67"/>
      <c r="N172" s="67"/>
      <c r="O172" s="67"/>
      <c r="P172" s="67"/>
      <c r="Q172" s="67"/>
      <c r="R172" s="81"/>
      <c r="S172" s="423"/>
      <c r="T172" s="406"/>
      <c r="U172" s="406"/>
      <c r="V172" s="406"/>
      <c r="W172" s="406"/>
      <c r="X172" s="406"/>
      <c r="Y172" s="425"/>
      <c r="Z172" s="425"/>
      <c r="AA172" s="425"/>
      <c r="AB172" s="425"/>
      <c r="AC172" s="425"/>
      <c r="AD172" s="425"/>
      <c r="AE172" s="425"/>
      <c r="AF172" s="425"/>
      <c r="AG172" s="425"/>
      <c r="AH172" s="432"/>
      <c r="AI172" s="433"/>
      <c r="AJ172" s="433"/>
      <c r="AK172" s="433"/>
      <c r="AL172" s="433"/>
      <c r="AM172" s="437"/>
      <c r="AN172" s="437"/>
      <c r="AO172" s="437"/>
      <c r="AP172" s="437"/>
      <c r="AQ172" s="438"/>
      <c r="AU172" s="53"/>
      <c r="AV172" s="53"/>
      <c r="AW172" s="53"/>
    </row>
    <row r="173" spans="2:49" ht="15.75" customHeight="1" x14ac:dyDescent="0.2">
      <c r="B173" s="74"/>
      <c r="C173" s="80"/>
      <c r="D173" s="418">
        <f>IF(($AU$9+5)&gt;$AX$9,"",VLOOKUP($AU$9+5,Spielplan,10,0))</f>
        <v>0</v>
      </c>
      <c r="E173" s="419"/>
      <c r="F173" s="419"/>
      <c r="G173" s="419"/>
      <c r="H173" s="419"/>
      <c r="I173" s="419"/>
      <c r="J173" s="419"/>
      <c r="K173" s="419"/>
      <c r="L173" s="419"/>
      <c r="M173" s="419"/>
      <c r="N173" s="419"/>
      <c r="O173" s="419"/>
      <c r="P173" s="419"/>
      <c r="Q173" s="419"/>
      <c r="R173" s="420"/>
      <c r="S173" s="422" t="s">
        <v>52</v>
      </c>
      <c r="T173" s="406"/>
      <c r="U173" s="406"/>
      <c r="V173" s="406"/>
      <c r="W173" s="406"/>
      <c r="X173" s="406"/>
      <c r="Y173" s="424">
        <f>IF(($AU$9+5)&gt;$AX$9,"",VLOOKUP($AU$9+5,Spielplan,2,0))</f>
        <v>0</v>
      </c>
      <c r="Z173" s="425"/>
      <c r="AA173" s="425"/>
      <c r="AB173" s="425"/>
      <c r="AC173" s="425"/>
      <c r="AD173" s="425"/>
      <c r="AE173" s="425"/>
      <c r="AF173" s="425"/>
      <c r="AG173" s="425"/>
      <c r="AH173" s="405" t="s">
        <v>53</v>
      </c>
      <c r="AI173" s="406"/>
      <c r="AJ173" s="406"/>
      <c r="AK173" s="406"/>
      <c r="AL173" s="406"/>
      <c r="AM173" s="400">
        <f>IF(($AU$9+5)&gt;$AX$9,"",VLOOKUP($AU$9+5,Spielplan,5,0))</f>
        <v>1</v>
      </c>
      <c r="AN173" s="401"/>
      <c r="AO173" s="401"/>
      <c r="AP173" s="401"/>
      <c r="AQ173" s="402"/>
      <c r="AU173" s="53"/>
      <c r="AV173" s="53"/>
      <c r="AW173" s="53"/>
    </row>
    <row r="174" spans="2:49" ht="11.1" customHeight="1" thickBot="1" x14ac:dyDescent="0.25">
      <c r="B174" s="74"/>
      <c r="C174" s="80"/>
      <c r="D174" s="421"/>
      <c r="E174" s="419"/>
      <c r="F174" s="419"/>
      <c r="G174" s="419"/>
      <c r="H174" s="419"/>
      <c r="I174" s="419"/>
      <c r="J174" s="419"/>
      <c r="K174" s="419"/>
      <c r="L174" s="419"/>
      <c r="M174" s="419"/>
      <c r="N174" s="419"/>
      <c r="O174" s="419"/>
      <c r="P174" s="419"/>
      <c r="Q174" s="419"/>
      <c r="R174" s="420"/>
      <c r="S174" s="423"/>
      <c r="T174" s="406"/>
      <c r="U174" s="406"/>
      <c r="V174" s="406"/>
      <c r="W174" s="406"/>
      <c r="X174" s="406"/>
      <c r="Y174" s="425"/>
      <c r="Z174" s="425"/>
      <c r="AA174" s="425"/>
      <c r="AB174" s="425"/>
      <c r="AC174" s="425"/>
      <c r="AD174" s="425"/>
      <c r="AE174" s="425"/>
      <c r="AF174" s="425"/>
      <c r="AG174" s="425"/>
      <c r="AH174" s="407"/>
      <c r="AI174" s="408"/>
      <c r="AJ174" s="408"/>
      <c r="AK174" s="408"/>
      <c r="AL174" s="408"/>
      <c r="AM174" s="403"/>
      <c r="AN174" s="403"/>
      <c r="AO174" s="403"/>
      <c r="AP174" s="403"/>
      <c r="AQ174" s="404"/>
      <c r="AU174" s="53"/>
      <c r="AV174" s="53"/>
      <c r="AW174" s="53"/>
    </row>
    <row r="175" spans="2:49" ht="11.1" customHeight="1" thickBot="1" x14ac:dyDescent="0.25">
      <c r="B175" s="74"/>
      <c r="C175" s="80"/>
      <c r="D175" s="72"/>
      <c r="E175" s="73"/>
      <c r="F175" s="73"/>
      <c r="G175" s="73"/>
      <c r="H175" s="73"/>
      <c r="I175" s="73"/>
      <c r="J175" s="73" t="s">
        <v>54</v>
      </c>
      <c r="K175" s="73"/>
      <c r="L175" s="73"/>
      <c r="M175" s="73"/>
      <c r="N175" s="73"/>
      <c r="O175" s="67"/>
      <c r="P175" s="67"/>
      <c r="Q175" s="73"/>
      <c r="R175" s="83"/>
      <c r="S175" s="74"/>
      <c r="T175" s="67"/>
      <c r="U175" s="67"/>
      <c r="V175" s="67"/>
      <c r="W175" s="67"/>
      <c r="X175" s="67"/>
      <c r="Y175" s="409"/>
      <c r="Z175" s="409"/>
      <c r="AA175" s="409"/>
      <c r="AB175" s="409"/>
      <c r="AC175" s="409"/>
      <c r="AD175" s="409"/>
      <c r="AE175" s="409"/>
      <c r="AF175" s="410"/>
      <c r="AG175" s="411"/>
      <c r="AH175" s="84" t="s">
        <v>55</v>
      </c>
      <c r="AI175" s="67"/>
      <c r="AJ175" s="67"/>
      <c r="AK175" s="67"/>
      <c r="AL175" s="67"/>
      <c r="AM175" s="67"/>
      <c r="AN175" s="67"/>
      <c r="AO175" s="85"/>
      <c r="AP175" s="67"/>
      <c r="AQ175" s="81"/>
      <c r="AU175" s="53"/>
      <c r="AV175" s="53"/>
      <c r="AW175" s="53"/>
    </row>
    <row r="176" spans="2:49" ht="13.5" customHeight="1" thickBot="1" x14ac:dyDescent="0.3">
      <c r="B176" s="74"/>
      <c r="C176" s="80"/>
      <c r="D176" s="68"/>
      <c r="E176" s="78" t="s">
        <v>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412" t="s">
        <v>56</v>
      </c>
      <c r="R176" s="68"/>
      <c r="S176" s="68"/>
      <c r="T176" s="78" t="s">
        <v>7</v>
      </c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9"/>
      <c r="AF176" s="415" t="s">
        <v>56</v>
      </c>
      <c r="AG176" s="74"/>
      <c r="AH176" s="86" t="s">
        <v>57</v>
      </c>
      <c r="AI176" s="73"/>
      <c r="AJ176" s="73"/>
      <c r="AK176" s="73"/>
      <c r="AL176" s="73"/>
      <c r="AM176" s="73"/>
      <c r="AN176" s="73"/>
      <c r="AO176" s="87"/>
      <c r="AP176" s="67"/>
      <c r="AQ176" s="81"/>
      <c r="AU176" s="53"/>
      <c r="AV176" s="53"/>
      <c r="AW176" s="53"/>
    </row>
    <row r="177" spans="2:49" ht="12" customHeight="1" thickBot="1" x14ac:dyDescent="0.25">
      <c r="B177" s="74"/>
      <c r="C177" s="80"/>
      <c r="D177" s="418">
        <f>IF(($AU$9+5)&gt;$AX$9,"",VLOOKUP($AU$9+5,Spielplan,7,0))</f>
        <v>0</v>
      </c>
      <c r="E177" s="419"/>
      <c r="F177" s="419"/>
      <c r="G177" s="419"/>
      <c r="H177" s="419"/>
      <c r="I177" s="419"/>
      <c r="J177" s="419"/>
      <c r="K177" s="419"/>
      <c r="L177" s="419"/>
      <c r="M177" s="419"/>
      <c r="N177" s="419"/>
      <c r="O177" s="419"/>
      <c r="P177" s="420"/>
      <c r="Q177" s="413"/>
      <c r="R177" s="74"/>
      <c r="S177" s="418">
        <f>IF(($AU$9+5)&gt;$AX$9,"",VLOOKUP($AU$9+5,Spielplan,9,0))</f>
        <v>0</v>
      </c>
      <c r="T177" s="419"/>
      <c r="U177" s="419"/>
      <c r="V177" s="419"/>
      <c r="W177" s="419"/>
      <c r="X177" s="419"/>
      <c r="Y177" s="419"/>
      <c r="Z177" s="419"/>
      <c r="AA177" s="419"/>
      <c r="AB177" s="419"/>
      <c r="AC177" s="419"/>
      <c r="AD177" s="419"/>
      <c r="AE177" s="429"/>
      <c r="AF177" s="416"/>
      <c r="AG177" s="74"/>
      <c r="AH177" s="394" t="s">
        <v>58</v>
      </c>
      <c r="AI177" s="395"/>
      <c r="AJ177" s="395"/>
      <c r="AK177" s="395"/>
      <c r="AL177" s="395"/>
      <c r="AM177" s="396"/>
      <c r="AN177" s="88" t="s">
        <v>59</v>
      </c>
      <c r="AO177" s="89"/>
      <c r="AP177" s="89"/>
      <c r="AQ177" s="87"/>
      <c r="AU177" s="53"/>
      <c r="AV177" s="53"/>
      <c r="AW177" s="53"/>
    </row>
    <row r="178" spans="2:49" ht="12" customHeight="1" thickBot="1" x14ac:dyDescent="0.25">
      <c r="B178" s="72"/>
      <c r="C178" s="85"/>
      <c r="D178" s="426"/>
      <c r="E178" s="427"/>
      <c r="F178" s="427"/>
      <c r="G178" s="427"/>
      <c r="H178" s="427"/>
      <c r="I178" s="427"/>
      <c r="J178" s="427"/>
      <c r="K178" s="427"/>
      <c r="L178" s="427"/>
      <c r="M178" s="427"/>
      <c r="N178" s="427"/>
      <c r="O178" s="427"/>
      <c r="P178" s="428"/>
      <c r="Q178" s="414"/>
      <c r="R178" s="72"/>
      <c r="S178" s="426"/>
      <c r="T178" s="427"/>
      <c r="U178" s="427"/>
      <c r="V178" s="427"/>
      <c r="W178" s="427"/>
      <c r="X178" s="427"/>
      <c r="Y178" s="427"/>
      <c r="Z178" s="427"/>
      <c r="AA178" s="427"/>
      <c r="AB178" s="427"/>
      <c r="AC178" s="427"/>
      <c r="AD178" s="427"/>
      <c r="AE178" s="389"/>
      <c r="AF178" s="417"/>
      <c r="AG178" s="72"/>
      <c r="AH178" s="397"/>
      <c r="AI178" s="398"/>
      <c r="AJ178" s="398"/>
      <c r="AK178" s="398"/>
      <c r="AL178" s="398"/>
      <c r="AM178" s="399"/>
      <c r="AN178" s="88" t="s">
        <v>60</v>
      </c>
      <c r="AO178" s="89"/>
      <c r="AP178" s="89"/>
      <c r="AQ178" s="87"/>
      <c r="AU178" s="53"/>
      <c r="AV178" s="53"/>
      <c r="AW178" s="53"/>
    </row>
    <row r="179" spans="2:49" ht="9.9499999999999993" customHeight="1" thickBot="1" x14ac:dyDescent="0.25">
      <c r="B179" s="74"/>
      <c r="C179" s="7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81"/>
      <c r="AU179" s="53"/>
      <c r="AV179" s="53"/>
      <c r="AW179" s="53"/>
    </row>
    <row r="180" spans="2:49" x14ac:dyDescent="0.2">
      <c r="B180" s="68"/>
      <c r="C180" s="77" t="s">
        <v>59</v>
      </c>
      <c r="D180" s="90"/>
      <c r="E180" s="91"/>
      <c r="F180" s="91"/>
      <c r="G180" s="91"/>
      <c r="H180" s="92"/>
      <c r="I180" s="90"/>
      <c r="J180" s="91"/>
      <c r="K180" s="91"/>
      <c r="L180" s="91"/>
      <c r="M180" s="92"/>
      <c r="N180" s="90"/>
      <c r="O180" s="91"/>
      <c r="P180" s="91"/>
      <c r="Q180" s="91"/>
      <c r="R180" s="92"/>
      <c r="S180" s="90"/>
      <c r="T180" s="91"/>
      <c r="U180" s="91"/>
      <c r="V180" s="91"/>
      <c r="W180" s="92"/>
      <c r="X180" s="90"/>
      <c r="Y180" s="91"/>
      <c r="Z180" s="91"/>
      <c r="AA180" s="91"/>
      <c r="AB180" s="92"/>
      <c r="AC180" s="90"/>
      <c r="AD180" s="91"/>
      <c r="AE180" s="91"/>
      <c r="AF180" s="91"/>
      <c r="AG180" s="92"/>
      <c r="AH180" s="90"/>
      <c r="AI180" s="91"/>
      <c r="AJ180" s="91"/>
      <c r="AK180" s="91"/>
      <c r="AL180" s="91"/>
      <c r="AM180" s="206" t="s">
        <v>59</v>
      </c>
      <c r="AN180" s="392"/>
      <c r="AO180" s="392"/>
      <c r="AP180" s="392"/>
      <c r="AQ180" s="393"/>
      <c r="AU180" s="53"/>
      <c r="AV180" s="53"/>
      <c r="AW180" s="53"/>
    </row>
    <row r="181" spans="2:49" ht="13.5" thickBot="1" x14ac:dyDescent="0.25">
      <c r="B181" s="72"/>
      <c r="C181" s="85" t="s">
        <v>60</v>
      </c>
      <c r="D181" s="72"/>
      <c r="E181" s="93"/>
      <c r="F181" s="93"/>
      <c r="G181" s="93"/>
      <c r="H181" s="94"/>
      <c r="I181" s="72"/>
      <c r="J181" s="93"/>
      <c r="K181" s="93"/>
      <c r="L181" s="93"/>
      <c r="M181" s="94"/>
      <c r="N181" s="72"/>
      <c r="O181" s="93"/>
      <c r="P181" s="93"/>
      <c r="Q181" s="93"/>
      <c r="R181" s="94"/>
      <c r="S181" s="72"/>
      <c r="T181" s="93"/>
      <c r="U181" s="93"/>
      <c r="V181" s="93"/>
      <c r="W181" s="94"/>
      <c r="X181" s="72"/>
      <c r="Y181" s="93"/>
      <c r="Z181" s="93"/>
      <c r="AA181" s="93"/>
      <c r="AB181" s="94"/>
      <c r="AC181" s="72"/>
      <c r="AD181" s="93"/>
      <c r="AE181" s="93"/>
      <c r="AF181" s="93"/>
      <c r="AG181" s="94"/>
      <c r="AH181" s="72"/>
      <c r="AI181" s="93"/>
      <c r="AJ181" s="93"/>
      <c r="AK181" s="93"/>
      <c r="AL181" s="93"/>
      <c r="AM181" s="208" t="s">
        <v>60</v>
      </c>
      <c r="AN181" s="326"/>
      <c r="AO181" s="326"/>
      <c r="AP181" s="326"/>
      <c r="AQ181" s="327"/>
      <c r="AU181" s="53"/>
      <c r="AV181" s="53"/>
      <c r="AW181" s="53"/>
    </row>
    <row r="182" spans="2:49" x14ac:dyDescent="0.2">
      <c r="B182" s="68"/>
      <c r="C182" s="77" t="s">
        <v>59</v>
      </c>
      <c r="D182" s="90"/>
      <c r="E182" s="91"/>
      <c r="F182" s="91"/>
      <c r="G182" s="91"/>
      <c r="H182" s="92"/>
      <c r="I182" s="90"/>
      <c r="J182" s="91"/>
      <c r="K182" s="91"/>
      <c r="L182" s="91"/>
      <c r="M182" s="92"/>
      <c r="N182" s="90"/>
      <c r="O182" s="91"/>
      <c r="P182" s="91"/>
      <c r="Q182" s="91"/>
      <c r="R182" s="92"/>
      <c r="S182" s="90"/>
      <c r="T182" s="91"/>
      <c r="U182" s="91"/>
      <c r="V182" s="91"/>
      <c r="W182" s="92"/>
      <c r="X182" s="90"/>
      <c r="Y182" s="91"/>
      <c r="Z182" s="91"/>
      <c r="AA182" s="91"/>
      <c r="AB182" s="92"/>
      <c r="AC182" s="90"/>
      <c r="AD182" s="91"/>
      <c r="AE182" s="91"/>
      <c r="AF182" s="91"/>
      <c r="AG182" s="92"/>
      <c r="AH182" s="90"/>
      <c r="AI182" s="91"/>
      <c r="AJ182" s="91"/>
      <c r="AK182" s="91"/>
      <c r="AL182" s="91"/>
      <c r="AM182" s="206" t="s">
        <v>59</v>
      </c>
      <c r="AN182" s="392"/>
      <c r="AO182" s="392"/>
      <c r="AP182" s="392"/>
      <c r="AQ182" s="393"/>
      <c r="AU182" s="53"/>
      <c r="AV182" s="53"/>
      <c r="AW182" s="53"/>
    </row>
    <row r="183" spans="2:49" ht="13.5" thickBot="1" x14ac:dyDescent="0.25">
      <c r="B183" s="72"/>
      <c r="C183" s="85" t="s">
        <v>60</v>
      </c>
      <c r="D183" s="72"/>
      <c r="E183" s="93"/>
      <c r="F183" s="93"/>
      <c r="G183" s="93"/>
      <c r="H183" s="94"/>
      <c r="I183" s="72"/>
      <c r="J183" s="93"/>
      <c r="K183" s="93"/>
      <c r="L183" s="93"/>
      <c r="M183" s="94"/>
      <c r="N183" s="72"/>
      <c r="O183" s="93"/>
      <c r="P183" s="93"/>
      <c r="Q183" s="93"/>
      <c r="R183" s="94"/>
      <c r="S183" s="72"/>
      <c r="T183" s="93"/>
      <c r="U183" s="93"/>
      <c r="V183" s="93"/>
      <c r="W183" s="94"/>
      <c r="X183" s="72"/>
      <c r="Y183" s="93"/>
      <c r="Z183" s="93"/>
      <c r="AA183" s="93"/>
      <c r="AB183" s="94"/>
      <c r="AC183" s="72"/>
      <c r="AD183" s="93"/>
      <c r="AE183" s="93"/>
      <c r="AF183" s="93"/>
      <c r="AG183" s="94"/>
      <c r="AH183" s="72"/>
      <c r="AI183" s="93"/>
      <c r="AJ183" s="93"/>
      <c r="AK183" s="93"/>
      <c r="AL183" s="93"/>
      <c r="AM183" s="207" t="s">
        <v>60</v>
      </c>
      <c r="AN183" s="347"/>
      <c r="AO183" s="347"/>
      <c r="AP183" s="347"/>
      <c r="AQ183" s="348"/>
      <c r="AU183" s="53"/>
      <c r="AV183" s="53"/>
      <c r="AW183" s="53"/>
    </row>
    <row r="184" spans="2:49" x14ac:dyDescent="0.2">
      <c r="B184" s="68"/>
      <c r="C184" s="77" t="s">
        <v>59</v>
      </c>
      <c r="D184" s="90"/>
      <c r="E184" s="91"/>
      <c r="F184" s="91"/>
      <c r="G184" s="91"/>
      <c r="H184" s="92"/>
      <c r="I184" s="90"/>
      <c r="J184" s="91"/>
      <c r="K184" s="91"/>
      <c r="L184" s="91"/>
      <c r="M184" s="92"/>
      <c r="N184" s="90"/>
      <c r="O184" s="91"/>
      <c r="P184" s="91"/>
      <c r="Q184" s="91"/>
      <c r="R184" s="92"/>
      <c r="S184" s="90"/>
      <c r="T184" s="91"/>
      <c r="U184" s="91"/>
      <c r="V184" s="91"/>
      <c r="W184" s="92"/>
      <c r="X184" s="90"/>
      <c r="Y184" s="91"/>
      <c r="Z184" s="91"/>
      <c r="AA184" s="91"/>
      <c r="AB184" s="92"/>
      <c r="AC184" s="90"/>
      <c r="AD184" s="91"/>
      <c r="AE184" s="91"/>
      <c r="AF184" s="91"/>
      <c r="AG184" s="92"/>
      <c r="AH184" s="90"/>
      <c r="AI184" s="91"/>
      <c r="AJ184" s="91"/>
      <c r="AK184" s="91"/>
      <c r="AL184" s="91"/>
      <c r="AM184" s="206" t="s">
        <v>59</v>
      </c>
      <c r="AN184" s="392"/>
      <c r="AO184" s="392"/>
      <c r="AP184" s="392"/>
      <c r="AQ184" s="393"/>
      <c r="AU184" s="53"/>
      <c r="AV184" s="53"/>
      <c r="AW184" s="53"/>
    </row>
    <row r="185" spans="2:49" ht="13.5" thickBot="1" x14ac:dyDescent="0.25">
      <c r="B185" s="72"/>
      <c r="C185" s="85" t="s">
        <v>60</v>
      </c>
      <c r="D185" s="72"/>
      <c r="E185" s="93"/>
      <c r="F185" s="93"/>
      <c r="G185" s="93"/>
      <c r="H185" s="94"/>
      <c r="I185" s="72"/>
      <c r="J185" s="93"/>
      <c r="K185" s="93"/>
      <c r="L185" s="93"/>
      <c r="M185" s="94"/>
      <c r="N185" s="72"/>
      <c r="O185" s="93"/>
      <c r="P185" s="93"/>
      <c r="Q185" s="93"/>
      <c r="R185" s="94"/>
      <c r="S185" s="72"/>
      <c r="T185" s="93"/>
      <c r="U185" s="93"/>
      <c r="V185" s="93"/>
      <c r="W185" s="94"/>
      <c r="X185" s="72"/>
      <c r="Y185" s="93"/>
      <c r="Z185" s="93"/>
      <c r="AA185" s="93"/>
      <c r="AB185" s="94"/>
      <c r="AC185" s="72"/>
      <c r="AD185" s="93"/>
      <c r="AE185" s="93"/>
      <c r="AF185" s="93"/>
      <c r="AG185" s="94"/>
      <c r="AH185" s="72"/>
      <c r="AI185" s="93"/>
      <c r="AJ185" s="93"/>
      <c r="AK185" s="93"/>
      <c r="AL185" s="93"/>
      <c r="AM185" s="207" t="s">
        <v>60</v>
      </c>
      <c r="AN185" s="347"/>
      <c r="AO185" s="347"/>
      <c r="AP185" s="347"/>
      <c r="AQ185" s="348"/>
      <c r="AU185" s="53"/>
      <c r="AV185" s="53"/>
      <c r="AW185" s="53"/>
    </row>
    <row r="186" spans="2:49" ht="9.9499999999999993" customHeight="1" x14ac:dyDescent="0.2">
      <c r="B186" s="74"/>
      <c r="C186" s="74"/>
      <c r="D186" s="378" t="s">
        <v>61</v>
      </c>
      <c r="E186" s="379"/>
      <c r="F186" s="380"/>
      <c r="G186" s="384" t="s">
        <v>62</v>
      </c>
      <c r="H186" s="385"/>
      <c r="I186" s="385"/>
      <c r="J186" s="385"/>
      <c r="K186" s="385"/>
      <c r="L186" s="385"/>
      <c r="M186" s="385"/>
      <c r="N186" s="385"/>
      <c r="O186" s="386"/>
      <c r="P186" s="390" t="s">
        <v>56</v>
      </c>
      <c r="Q186" s="390" t="s">
        <v>63</v>
      </c>
      <c r="R186" s="67"/>
      <c r="S186" s="378" t="s">
        <v>61</v>
      </c>
      <c r="T186" s="379"/>
      <c r="U186" s="380"/>
      <c r="V186" s="384" t="s">
        <v>62</v>
      </c>
      <c r="W186" s="385"/>
      <c r="X186" s="385"/>
      <c r="Y186" s="385"/>
      <c r="Z186" s="385"/>
      <c r="AA186" s="385"/>
      <c r="AB186" s="385"/>
      <c r="AC186" s="385"/>
      <c r="AD186" s="386"/>
      <c r="AE186" s="390" t="s">
        <v>56</v>
      </c>
      <c r="AF186" s="390" t="s">
        <v>63</v>
      </c>
      <c r="AG186" s="95"/>
      <c r="AH186" s="96"/>
      <c r="AI186" s="96"/>
      <c r="AJ186" s="96"/>
      <c r="AK186" s="96"/>
      <c r="AL186" s="96"/>
      <c r="AM186" s="114"/>
      <c r="AN186" s="377" t="s">
        <v>1</v>
      </c>
      <c r="AO186" s="377"/>
      <c r="AP186" s="377" t="s">
        <v>2</v>
      </c>
      <c r="AQ186" s="377"/>
      <c r="AR186" s="97"/>
      <c r="AU186" s="53"/>
      <c r="AV186" s="53"/>
      <c r="AW186" s="53"/>
    </row>
    <row r="187" spans="2:49" ht="13.5" thickBot="1" x14ac:dyDescent="0.25">
      <c r="B187" s="74"/>
      <c r="C187" s="74"/>
      <c r="D187" s="381"/>
      <c r="E187" s="382"/>
      <c r="F187" s="383"/>
      <c r="G187" s="387"/>
      <c r="H187" s="388"/>
      <c r="I187" s="388"/>
      <c r="J187" s="388"/>
      <c r="K187" s="388"/>
      <c r="L187" s="388"/>
      <c r="M187" s="388"/>
      <c r="N187" s="388"/>
      <c r="O187" s="389"/>
      <c r="P187" s="391"/>
      <c r="Q187" s="391"/>
      <c r="R187" s="67"/>
      <c r="S187" s="381"/>
      <c r="T187" s="382"/>
      <c r="U187" s="383"/>
      <c r="V187" s="387"/>
      <c r="W187" s="388"/>
      <c r="X187" s="388"/>
      <c r="Y187" s="388"/>
      <c r="Z187" s="388"/>
      <c r="AA187" s="388"/>
      <c r="AB187" s="388"/>
      <c r="AC187" s="388"/>
      <c r="AD187" s="389"/>
      <c r="AE187" s="391"/>
      <c r="AF187" s="391"/>
      <c r="AG187" s="98"/>
      <c r="AH187" s="67"/>
      <c r="AI187" s="99" t="s">
        <v>64</v>
      </c>
      <c r="AJ187" s="99"/>
      <c r="AK187" s="99"/>
      <c r="AL187" s="99"/>
      <c r="AM187" s="99"/>
      <c r="AN187" s="99"/>
      <c r="AO187" s="100"/>
      <c r="AP187" s="100"/>
      <c r="AQ187" s="101"/>
      <c r="AR187" s="97"/>
      <c r="AU187" s="53"/>
      <c r="AV187" s="53"/>
      <c r="AW187" s="53"/>
    </row>
    <row r="188" spans="2:49" ht="13.5" customHeight="1" x14ac:dyDescent="0.2">
      <c r="B188" s="74"/>
      <c r="C188" s="74"/>
      <c r="D188" s="216"/>
      <c r="E188" s="209"/>
      <c r="F188" s="210"/>
      <c r="G188" s="211" t="s">
        <v>65</v>
      </c>
      <c r="H188" s="212"/>
      <c r="I188" s="212"/>
      <c r="J188" s="212"/>
      <c r="K188" s="212"/>
      <c r="L188" s="212"/>
      <c r="M188" s="212"/>
      <c r="N188" s="212"/>
      <c r="O188" s="213"/>
      <c r="P188" s="214"/>
      <c r="Q188" s="214"/>
      <c r="R188" s="215"/>
      <c r="S188" s="216"/>
      <c r="T188" s="209"/>
      <c r="U188" s="210"/>
      <c r="V188" s="211" t="s">
        <v>65</v>
      </c>
      <c r="W188" s="212"/>
      <c r="X188" s="212"/>
      <c r="Y188" s="212"/>
      <c r="Z188" s="212"/>
      <c r="AA188" s="212"/>
      <c r="AB188" s="212"/>
      <c r="AC188" s="212"/>
      <c r="AD188" s="213"/>
      <c r="AE188" s="214"/>
      <c r="AF188" s="214"/>
      <c r="AG188" s="365" t="s">
        <v>83</v>
      </c>
      <c r="AH188" s="366"/>
      <c r="AI188" s="366"/>
      <c r="AJ188" s="367"/>
      <c r="AK188" s="371" t="s">
        <v>66</v>
      </c>
      <c r="AL188" s="372"/>
      <c r="AM188" s="372"/>
      <c r="AN188" s="372"/>
      <c r="AO188" s="372"/>
      <c r="AP188" s="372"/>
      <c r="AQ188" s="373"/>
      <c r="AU188" s="53"/>
      <c r="AV188" s="53"/>
      <c r="AW188" s="53"/>
    </row>
    <row r="189" spans="2:49" ht="13.5" customHeight="1" thickBot="1" x14ac:dyDescent="0.25">
      <c r="B189" s="74"/>
      <c r="C189" s="74"/>
      <c r="D189" s="216"/>
      <c r="E189" s="209"/>
      <c r="F189" s="210"/>
      <c r="G189" s="217">
        <v>2</v>
      </c>
      <c r="H189" s="209"/>
      <c r="I189" s="209"/>
      <c r="J189" s="209"/>
      <c r="K189" s="209"/>
      <c r="L189" s="209"/>
      <c r="M189" s="209"/>
      <c r="N189" s="209"/>
      <c r="O189" s="210"/>
      <c r="P189" s="214"/>
      <c r="Q189" s="214"/>
      <c r="R189" s="215"/>
      <c r="S189" s="216"/>
      <c r="T189" s="209"/>
      <c r="U189" s="210"/>
      <c r="V189" s="217">
        <v>2</v>
      </c>
      <c r="W189" s="209"/>
      <c r="X189" s="209"/>
      <c r="Y189" s="209"/>
      <c r="Z189" s="209"/>
      <c r="AA189" s="209"/>
      <c r="AB189" s="209"/>
      <c r="AC189" s="209"/>
      <c r="AD189" s="210"/>
      <c r="AE189" s="214"/>
      <c r="AF189" s="214"/>
      <c r="AG189" s="368"/>
      <c r="AH189" s="369"/>
      <c r="AI189" s="369"/>
      <c r="AJ189" s="370"/>
      <c r="AK189" s="374"/>
      <c r="AL189" s="375"/>
      <c r="AM189" s="375"/>
      <c r="AN189" s="375"/>
      <c r="AO189" s="375"/>
      <c r="AP189" s="375"/>
      <c r="AQ189" s="376"/>
      <c r="AU189" s="53"/>
      <c r="AV189" s="53"/>
      <c r="AW189" s="53"/>
    </row>
    <row r="190" spans="2:49" ht="13.5" customHeight="1" x14ac:dyDescent="0.2">
      <c r="B190" s="74"/>
      <c r="C190" s="74"/>
      <c r="D190" s="216"/>
      <c r="E190" s="209"/>
      <c r="F190" s="210"/>
      <c r="G190" s="217">
        <v>3</v>
      </c>
      <c r="H190" s="209"/>
      <c r="I190" s="209"/>
      <c r="J190" s="209"/>
      <c r="K190" s="209"/>
      <c r="L190" s="209"/>
      <c r="M190" s="209"/>
      <c r="N190" s="209"/>
      <c r="O190" s="210"/>
      <c r="P190" s="214"/>
      <c r="Q190" s="214"/>
      <c r="R190" s="215"/>
      <c r="S190" s="216"/>
      <c r="T190" s="209"/>
      <c r="U190" s="210"/>
      <c r="V190" s="217">
        <v>3</v>
      </c>
      <c r="W190" s="209"/>
      <c r="X190" s="209"/>
      <c r="Y190" s="209"/>
      <c r="Z190" s="209"/>
      <c r="AA190" s="209"/>
      <c r="AB190" s="209"/>
      <c r="AC190" s="209"/>
      <c r="AD190" s="210"/>
      <c r="AE190" s="214"/>
      <c r="AF190" s="214"/>
      <c r="AG190" s="365" t="s">
        <v>2</v>
      </c>
      <c r="AH190" s="366"/>
      <c r="AI190" s="366"/>
      <c r="AJ190" s="367"/>
      <c r="AK190" s="371" t="s">
        <v>66</v>
      </c>
      <c r="AL190" s="372"/>
      <c r="AM190" s="372"/>
      <c r="AN190" s="372"/>
      <c r="AO190" s="372"/>
      <c r="AP190" s="372"/>
      <c r="AQ190" s="373"/>
      <c r="AU190" s="53"/>
      <c r="AV190" s="53"/>
      <c r="AW190" s="53"/>
    </row>
    <row r="191" spans="2:49" ht="13.5" customHeight="1" thickBot="1" x14ac:dyDescent="0.25">
      <c r="B191" s="74"/>
      <c r="C191" s="74"/>
      <c r="D191" s="216"/>
      <c r="E191" s="209"/>
      <c r="F191" s="210"/>
      <c r="G191" s="217">
        <v>4</v>
      </c>
      <c r="H191" s="209"/>
      <c r="I191" s="209"/>
      <c r="J191" s="209"/>
      <c r="K191" s="209"/>
      <c r="L191" s="209"/>
      <c r="M191" s="209"/>
      <c r="N191" s="209"/>
      <c r="O191" s="210"/>
      <c r="P191" s="214"/>
      <c r="Q191" s="214"/>
      <c r="R191" s="215"/>
      <c r="S191" s="216"/>
      <c r="T191" s="209"/>
      <c r="U191" s="210"/>
      <c r="V191" s="217">
        <v>4</v>
      </c>
      <c r="W191" s="209"/>
      <c r="X191" s="209"/>
      <c r="Y191" s="209"/>
      <c r="Z191" s="209"/>
      <c r="AA191" s="209"/>
      <c r="AB191" s="209"/>
      <c r="AC191" s="209"/>
      <c r="AD191" s="210"/>
      <c r="AE191" s="214"/>
      <c r="AF191" s="214"/>
      <c r="AG191" s="368"/>
      <c r="AH191" s="369"/>
      <c r="AI191" s="369"/>
      <c r="AJ191" s="370"/>
      <c r="AK191" s="374"/>
      <c r="AL191" s="375"/>
      <c r="AM191" s="375"/>
      <c r="AN191" s="375"/>
      <c r="AO191" s="375"/>
      <c r="AP191" s="375"/>
      <c r="AQ191" s="376"/>
      <c r="AU191" s="53"/>
      <c r="AV191" s="53"/>
      <c r="AW191" s="53"/>
    </row>
    <row r="192" spans="2:49" ht="13.5" customHeight="1" x14ac:dyDescent="0.2">
      <c r="B192" s="74"/>
      <c r="C192" s="74"/>
      <c r="D192" s="216"/>
      <c r="E192" s="209"/>
      <c r="F192" s="210"/>
      <c r="G192" s="217">
        <v>5</v>
      </c>
      <c r="H192" s="209"/>
      <c r="I192" s="209"/>
      <c r="J192" s="209"/>
      <c r="K192" s="209"/>
      <c r="L192" s="209"/>
      <c r="M192" s="209"/>
      <c r="N192" s="209"/>
      <c r="O192" s="210"/>
      <c r="P192" s="214"/>
      <c r="Q192" s="214"/>
      <c r="R192" s="215"/>
      <c r="S192" s="216"/>
      <c r="T192" s="209"/>
      <c r="U192" s="210"/>
      <c r="V192" s="217">
        <v>5</v>
      </c>
      <c r="W192" s="209"/>
      <c r="X192" s="209"/>
      <c r="Y192" s="209"/>
      <c r="Z192" s="209"/>
      <c r="AA192" s="209"/>
      <c r="AB192" s="209"/>
      <c r="AC192" s="209"/>
      <c r="AD192" s="210"/>
      <c r="AE192" s="214"/>
      <c r="AF192" s="214"/>
      <c r="AG192" s="102" t="s">
        <v>67</v>
      </c>
      <c r="AH192" s="70"/>
      <c r="AI192" s="70"/>
      <c r="AJ192" s="70"/>
      <c r="AK192" s="70"/>
      <c r="AL192" s="70"/>
      <c r="AM192" s="70"/>
      <c r="AN192" s="70"/>
      <c r="AO192" s="70" t="s">
        <v>68</v>
      </c>
      <c r="AP192" s="70"/>
      <c r="AQ192" s="79"/>
      <c r="AU192" s="53"/>
      <c r="AV192" s="53"/>
      <c r="AW192" s="53"/>
    </row>
    <row r="193" spans="2:49" ht="13.5" customHeight="1" x14ac:dyDescent="0.2">
      <c r="B193" s="74"/>
      <c r="C193" s="74"/>
      <c r="D193" s="216"/>
      <c r="E193" s="209"/>
      <c r="F193" s="210"/>
      <c r="G193" s="217">
        <v>6</v>
      </c>
      <c r="H193" s="209"/>
      <c r="I193" s="209"/>
      <c r="J193" s="209"/>
      <c r="K193" s="209"/>
      <c r="L193" s="209"/>
      <c r="M193" s="209"/>
      <c r="N193" s="209"/>
      <c r="O193" s="210"/>
      <c r="P193" s="214"/>
      <c r="Q193" s="214"/>
      <c r="R193" s="215"/>
      <c r="S193" s="216"/>
      <c r="T193" s="209"/>
      <c r="U193" s="210"/>
      <c r="V193" s="217">
        <v>6</v>
      </c>
      <c r="W193" s="209"/>
      <c r="X193" s="209"/>
      <c r="Y193" s="209"/>
      <c r="Z193" s="209"/>
      <c r="AA193" s="209"/>
      <c r="AB193" s="209"/>
      <c r="AC193" s="209"/>
      <c r="AD193" s="210"/>
      <c r="AE193" s="214"/>
      <c r="AF193" s="214"/>
      <c r="AG193" s="103"/>
      <c r="AH193" s="67"/>
      <c r="AI193" s="67"/>
      <c r="AJ193" s="67"/>
      <c r="AK193" s="67"/>
      <c r="AL193" s="67"/>
      <c r="AM193" s="67"/>
      <c r="AN193" s="67"/>
      <c r="AO193" s="67"/>
      <c r="AP193" s="67"/>
      <c r="AQ193" s="81"/>
      <c r="AU193" s="53"/>
      <c r="AV193" s="53"/>
      <c r="AW193" s="53"/>
    </row>
    <row r="194" spans="2:49" ht="13.5" customHeight="1" thickBot="1" x14ac:dyDescent="0.25">
      <c r="B194" s="74"/>
      <c r="C194" s="74"/>
      <c r="D194" s="216"/>
      <c r="E194" s="209"/>
      <c r="F194" s="210"/>
      <c r="G194" s="217">
        <v>7</v>
      </c>
      <c r="H194" s="209"/>
      <c r="I194" s="209"/>
      <c r="J194" s="209"/>
      <c r="K194" s="209"/>
      <c r="L194" s="209"/>
      <c r="M194" s="209"/>
      <c r="N194" s="209"/>
      <c r="O194" s="210"/>
      <c r="P194" s="214"/>
      <c r="Q194" s="214"/>
      <c r="R194" s="215"/>
      <c r="S194" s="216"/>
      <c r="T194" s="209"/>
      <c r="U194" s="210"/>
      <c r="V194" s="217">
        <v>7</v>
      </c>
      <c r="W194" s="209"/>
      <c r="X194" s="209"/>
      <c r="Y194" s="209"/>
      <c r="Z194" s="209"/>
      <c r="AA194" s="209"/>
      <c r="AB194" s="209"/>
      <c r="AC194" s="209"/>
      <c r="AD194" s="210"/>
      <c r="AE194" s="214"/>
      <c r="AF194" s="214"/>
      <c r="AG194" s="74" t="s">
        <v>69</v>
      </c>
      <c r="AH194" s="67"/>
      <c r="AI194" s="67"/>
      <c r="AJ194" s="67"/>
      <c r="AK194" s="67"/>
      <c r="AL194" s="67"/>
      <c r="AM194" s="67"/>
      <c r="AN194" s="67"/>
      <c r="AO194" s="67"/>
      <c r="AP194" s="67"/>
      <c r="AQ194" s="81"/>
      <c r="AU194" s="53"/>
      <c r="AV194" s="53"/>
      <c r="AW194" s="53"/>
    </row>
    <row r="195" spans="2:49" ht="13.5" customHeight="1" thickBot="1" x14ac:dyDescent="0.25">
      <c r="B195" s="74"/>
      <c r="C195" s="74"/>
      <c r="D195" s="222"/>
      <c r="E195" s="218"/>
      <c r="F195" s="219"/>
      <c r="G195" s="220">
        <v>8</v>
      </c>
      <c r="H195" s="218"/>
      <c r="I195" s="218"/>
      <c r="J195" s="218"/>
      <c r="K195" s="218"/>
      <c r="L195" s="218"/>
      <c r="M195" s="218"/>
      <c r="N195" s="218"/>
      <c r="O195" s="219"/>
      <c r="P195" s="221"/>
      <c r="Q195" s="221"/>
      <c r="R195" s="215"/>
      <c r="S195" s="222"/>
      <c r="T195" s="218"/>
      <c r="U195" s="219"/>
      <c r="V195" s="220">
        <v>8</v>
      </c>
      <c r="W195" s="218"/>
      <c r="X195" s="218"/>
      <c r="Y195" s="218"/>
      <c r="Z195" s="218"/>
      <c r="AA195" s="218"/>
      <c r="AB195" s="218"/>
      <c r="AC195" s="218"/>
      <c r="AD195" s="219"/>
      <c r="AE195" s="221"/>
      <c r="AF195" s="221"/>
      <c r="AG195" s="104" t="s">
        <v>70</v>
      </c>
      <c r="AH195" s="70"/>
      <c r="AI195" s="70"/>
      <c r="AJ195" s="70"/>
      <c r="AK195" s="70"/>
      <c r="AL195" s="70"/>
      <c r="AM195" s="70"/>
      <c r="AN195" s="70"/>
      <c r="AO195" s="70"/>
      <c r="AP195" s="70"/>
      <c r="AQ195" s="79"/>
      <c r="AU195" s="53"/>
      <c r="AV195" s="53"/>
      <c r="AW195" s="53"/>
    </row>
    <row r="196" spans="2:49" ht="13.5" customHeight="1" thickBot="1" x14ac:dyDescent="0.25">
      <c r="B196" s="74"/>
      <c r="C196" s="74"/>
      <c r="D196" s="89"/>
      <c r="E196" s="105"/>
      <c r="F196" s="105"/>
      <c r="G196" s="105"/>
      <c r="H196" s="105"/>
      <c r="I196" s="105"/>
      <c r="J196" s="106" t="s">
        <v>71</v>
      </c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7"/>
      <c r="AG196" s="84" t="s">
        <v>72</v>
      </c>
      <c r="AH196" s="67"/>
      <c r="AI196" s="67"/>
      <c r="AJ196" s="67"/>
      <c r="AK196" s="67"/>
      <c r="AL196" s="67"/>
      <c r="AM196" s="67"/>
      <c r="AN196" s="67"/>
      <c r="AO196" s="67"/>
      <c r="AP196" s="67"/>
      <c r="AQ196" s="81"/>
      <c r="AU196" s="53"/>
      <c r="AV196" s="53"/>
      <c r="AW196" s="53"/>
    </row>
    <row r="197" spans="2:49" ht="13.5" customHeight="1" thickBot="1" x14ac:dyDescent="0.25">
      <c r="B197" s="74"/>
      <c r="C197" s="74"/>
      <c r="D197" s="108" t="s">
        <v>73</v>
      </c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7"/>
      <c r="S197" s="108" t="s">
        <v>74</v>
      </c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7"/>
      <c r="AG197" s="109" t="s">
        <v>75</v>
      </c>
      <c r="AH197" s="110"/>
      <c r="AI197" s="110"/>
      <c r="AJ197" s="110"/>
      <c r="AK197" s="110"/>
      <c r="AL197" s="87"/>
      <c r="AM197" s="111" t="s">
        <v>76</v>
      </c>
      <c r="AN197" s="110"/>
      <c r="AO197" s="110"/>
      <c r="AP197" s="110"/>
      <c r="AQ197" s="87"/>
      <c r="AU197" s="53"/>
      <c r="AV197" s="53"/>
      <c r="AW197" s="53"/>
    </row>
    <row r="198" spans="2:49" ht="17.25" customHeight="1" thickBot="1" x14ac:dyDescent="0.25">
      <c r="B198" s="72"/>
      <c r="C198" s="72"/>
      <c r="D198" s="108" t="s">
        <v>77</v>
      </c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7"/>
      <c r="S198" s="108" t="s">
        <v>6</v>
      </c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7"/>
      <c r="AG198" s="112" t="s">
        <v>78</v>
      </c>
      <c r="AH198" s="73"/>
      <c r="AI198" s="73"/>
      <c r="AJ198" s="73"/>
      <c r="AK198" s="73"/>
      <c r="AL198" s="87"/>
      <c r="AM198" s="113" t="s">
        <v>79</v>
      </c>
      <c r="AN198" s="73"/>
      <c r="AO198" s="73"/>
      <c r="AP198" s="73"/>
      <c r="AQ198" s="87"/>
      <c r="AU198" s="53"/>
      <c r="AV198" s="53"/>
      <c r="AW198" s="53"/>
    </row>
    <row r="199" spans="2:49" ht="13.5" thickBot="1" x14ac:dyDescent="0.25">
      <c r="AU199" s="53"/>
      <c r="AV199" s="53"/>
      <c r="AW199" s="53"/>
    </row>
    <row r="200" spans="2:49" ht="17.25" customHeight="1" x14ac:dyDescent="0.25">
      <c r="B200" s="68"/>
      <c r="C200" s="68"/>
      <c r="D200" s="69" t="s">
        <v>44</v>
      </c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1" t="s">
        <v>89</v>
      </c>
      <c r="Z200" s="70"/>
      <c r="AA200" s="70"/>
      <c r="AB200" s="70"/>
      <c r="AC200" s="70"/>
      <c r="AD200" s="70"/>
      <c r="AE200" s="70"/>
      <c r="AF200" s="70"/>
      <c r="AG200" s="70"/>
      <c r="AH200" s="441" t="s">
        <v>45</v>
      </c>
      <c r="AI200" s="442"/>
      <c r="AJ200" s="442"/>
      <c r="AK200" s="442"/>
      <c r="AL200" s="442"/>
      <c r="AM200" s="443">
        <f>IF(($AU$9+6)&gt;$AX$9,"",VLOOKUP($AU$9+6,Spielplan,3,0))</f>
        <v>7.2916666666666657E-2</v>
      </c>
      <c r="AN200" s="443"/>
      <c r="AO200" s="443"/>
      <c r="AP200" s="443"/>
      <c r="AQ200" s="444"/>
      <c r="AU200" s="53"/>
      <c r="AV200" s="53"/>
      <c r="AW200" s="53"/>
    </row>
    <row r="201" spans="2:49" ht="0.75" customHeight="1" thickBot="1" x14ac:dyDescent="0.25">
      <c r="B201" s="72"/>
      <c r="C201" s="72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4"/>
      <c r="AI201" s="67"/>
      <c r="AJ201" s="67"/>
      <c r="AK201" s="67"/>
      <c r="AL201" s="67"/>
      <c r="AM201" s="75"/>
      <c r="AN201" s="75"/>
      <c r="AO201" s="75"/>
      <c r="AP201" s="75"/>
      <c r="AQ201" s="76"/>
      <c r="AU201" s="53"/>
      <c r="AV201" s="53"/>
      <c r="AW201" s="53"/>
    </row>
    <row r="202" spans="2:49" ht="15" x14ac:dyDescent="0.25">
      <c r="B202" s="68"/>
      <c r="C202" s="77"/>
      <c r="D202" s="68"/>
      <c r="E202" s="78" t="s">
        <v>6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9"/>
      <c r="S202" s="439" t="s">
        <v>46</v>
      </c>
      <c r="T202" s="440"/>
      <c r="U202" s="440"/>
      <c r="V202" s="440"/>
      <c r="W202" s="440"/>
      <c r="X202" s="440"/>
      <c r="Y202" s="366" t="str">
        <f>IF(($AU$9+6)&gt;$AX$9,"","SHTV")</f>
        <v>SHTV</v>
      </c>
      <c r="Z202" s="366"/>
      <c r="AA202" s="366"/>
      <c r="AB202" s="366"/>
      <c r="AC202" s="366"/>
      <c r="AD202" s="366"/>
      <c r="AE202" s="366"/>
      <c r="AF202" s="366"/>
      <c r="AG202" s="366"/>
      <c r="AH202" s="430" t="s">
        <v>47</v>
      </c>
      <c r="AI202" s="431"/>
      <c r="AJ202" s="431"/>
      <c r="AK202" s="431"/>
      <c r="AL202" s="431"/>
      <c r="AM202" s="434">
        <f>IF(($AU$9+6)&gt;$AX$9,"",VLOOKUP($AU$9+6,Spielplan,4,0))</f>
        <v>4</v>
      </c>
      <c r="AN202" s="435"/>
      <c r="AO202" s="435"/>
      <c r="AP202" s="435"/>
      <c r="AQ202" s="436"/>
      <c r="AU202" s="53"/>
      <c r="AV202" s="53"/>
      <c r="AW202" s="53"/>
    </row>
    <row r="203" spans="2:49" ht="9.9499999999999993" customHeight="1" x14ac:dyDescent="0.2">
      <c r="B203" s="74"/>
      <c r="C203" s="80"/>
      <c r="D203" s="74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81"/>
      <c r="S203" s="423"/>
      <c r="T203" s="406"/>
      <c r="U203" s="406"/>
      <c r="V203" s="406"/>
      <c r="W203" s="406"/>
      <c r="X203" s="406"/>
      <c r="Y203" s="425"/>
      <c r="Z203" s="425"/>
      <c r="AA203" s="425"/>
      <c r="AB203" s="425"/>
      <c r="AC203" s="425"/>
      <c r="AD203" s="425"/>
      <c r="AE203" s="425"/>
      <c r="AF203" s="425"/>
      <c r="AG203" s="425"/>
      <c r="AH203" s="432"/>
      <c r="AI203" s="433"/>
      <c r="AJ203" s="433"/>
      <c r="AK203" s="433"/>
      <c r="AL203" s="433"/>
      <c r="AM203" s="437"/>
      <c r="AN203" s="437"/>
      <c r="AO203" s="437"/>
      <c r="AP203" s="437"/>
      <c r="AQ203" s="438"/>
      <c r="AU203" s="53"/>
      <c r="AV203" s="53"/>
      <c r="AW203" s="53"/>
    </row>
    <row r="204" spans="2:49" ht="13.15" customHeight="1" x14ac:dyDescent="0.2">
      <c r="B204" s="74"/>
      <c r="C204" s="80"/>
      <c r="D204" s="74"/>
      <c r="E204" s="67" t="s">
        <v>48</v>
      </c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81"/>
      <c r="S204" s="422" t="s">
        <v>49</v>
      </c>
      <c r="T204" s="406"/>
      <c r="U204" s="406"/>
      <c r="V204" s="406"/>
      <c r="W204" s="406"/>
      <c r="X204" s="406"/>
      <c r="Y204" s="425">
        <f>IF(($AU$9+6)&gt;$AX$9,"",Platzierung!$U$3)</f>
        <v>0</v>
      </c>
      <c r="Z204" s="425"/>
      <c r="AA204" s="425"/>
      <c r="AB204" s="425"/>
      <c r="AC204" s="425"/>
      <c r="AD204" s="425"/>
      <c r="AE204" s="425"/>
      <c r="AF204" s="425"/>
      <c r="AG204" s="425"/>
      <c r="AH204" s="430" t="s">
        <v>50</v>
      </c>
      <c r="AI204" s="431"/>
      <c r="AJ204" s="431"/>
      <c r="AK204" s="431"/>
      <c r="AL204" s="431"/>
      <c r="AM204" s="434">
        <f>IF(($AU$9+6)&gt;$AX$9,"",VLOOKUP($AU$9+6,Spielplan,6,0))</f>
        <v>7</v>
      </c>
      <c r="AN204" s="435"/>
      <c r="AO204" s="435"/>
      <c r="AP204" s="435"/>
      <c r="AQ204" s="436"/>
      <c r="AU204" s="53"/>
      <c r="AV204" s="53"/>
      <c r="AW204" s="53"/>
    </row>
    <row r="205" spans="2:49" ht="9.9499999999999993" customHeight="1" x14ac:dyDescent="0.2">
      <c r="B205" s="74"/>
      <c r="C205" s="80"/>
      <c r="D205" s="74"/>
      <c r="E205" s="67"/>
      <c r="F205" s="67"/>
      <c r="G205" s="67"/>
      <c r="H205" s="67"/>
      <c r="I205" s="67"/>
      <c r="J205" s="82" t="s">
        <v>51</v>
      </c>
      <c r="K205" s="67"/>
      <c r="L205" s="67"/>
      <c r="M205" s="67"/>
      <c r="N205" s="67"/>
      <c r="O205" s="67"/>
      <c r="P205" s="67"/>
      <c r="Q205" s="67"/>
      <c r="R205" s="81"/>
      <c r="S205" s="423"/>
      <c r="T205" s="406"/>
      <c r="U205" s="406"/>
      <c r="V205" s="406"/>
      <c r="W205" s="406"/>
      <c r="X205" s="406"/>
      <c r="Y205" s="425"/>
      <c r="Z205" s="425"/>
      <c r="AA205" s="425"/>
      <c r="AB205" s="425"/>
      <c r="AC205" s="425"/>
      <c r="AD205" s="425"/>
      <c r="AE205" s="425"/>
      <c r="AF205" s="425"/>
      <c r="AG205" s="425"/>
      <c r="AH205" s="432"/>
      <c r="AI205" s="433"/>
      <c r="AJ205" s="433"/>
      <c r="AK205" s="433"/>
      <c r="AL205" s="433"/>
      <c r="AM205" s="437"/>
      <c r="AN205" s="437"/>
      <c r="AO205" s="437"/>
      <c r="AP205" s="437"/>
      <c r="AQ205" s="438"/>
      <c r="AU205" s="53"/>
      <c r="AV205" s="53"/>
      <c r="AW205" s="53"/>
    </row>
    <row r="206" spans="2:49" ht="15.75" customHeight="1" x14ac:dyDescent="0.2">
      <c r="B206" s="74"/>
      <c r="C206" s="80"/>
      <c r="D206" s="418">
        <f>IF(($AU$9+6)&gt;$AX$9,"",VLOOKUP($AU$9+6,Spielplan,10,0))</f>
        <v>0</v>
      </c>
      <c r="E206" s="419"/>
      <c r="F206" s="419"/>
      <c r="G206" s="419"/>
      <c r="H206" s="419"/>
      <c r="I206" s="419"/>
      <c r="J206" s="419"/>
      <c r="K206" s="419"/>
      <c r="L206" s="419"/>
      <c r="M206" s="419"/>
      <c r="N206" s="419"/>
      <c r="O206" s="419"/>
      <c r="P206" s="419"/>
      <c r="Q206" s="419"/>
      <c r="R206" s="420"/>
      <c r="S206" s="422" t="s">
        <v>52</v>
      </c>
      <c r="T206" s="406"/>
      <c r="U206" s="406"/>
      <c r="V206" s="406"/>
      <c r="W206" s="406"/>
      <c r="X206" s="406"/>
      <c r="Y206" s="424">
        <f>IF(($AU$9+6)&gt;$AX$9,"",VLOOKUP($AU$9+6,Spielplan,2,0))</f>
        <v>0</v>
      </c>
      <c r="Z206" s="425"/>
      <c r="AA206" s="425"/>
      <c r="AB206" s="425"/>
      <c r="AC206" s="425"/>
      <c r="AD206" s="425"/>
      <c r="AE206" s="425"/>
      <c r="AF206" s="425"/>
      <c r="AG206" s="425"/>
      <c r="AH206" s="405" t="s">
        <v>53</v>
      </c>
      <c r="AI206" s="406"/>
      <c r="AJ206" s="406"/>
      <c r="AK206" s="406"/>
      <c r="AL206" s="406"/>
      <c r="AM206" s="400">
        <f>IF(($AU$9+6)&gt;$AX$9,"",VLOOKUP($AU$9+6,Spielplan,5,0))</f>
        <v>2</v>
      </c>
      <c r="AN206" s="401"/>
      <c r="AO206" s="401"/>
      <c r="AP206" s="401"/>
      <c r="AQ206" s="402"/>
      <c r="AU206" s="53"/>
      <c r="AV206" s="53"/>
      <c r="AW206" s="53"/>
    </row>
    <row r="207" spans="2:49" ht="11.1" customHeight="1" thickBot="1" x14ac:dyDescent="0.25">
      <c r="B207" s="74"/>
      <c r="C207" s="80"/>
      <c r="D207" s="421"/>
      <c r="E207" s="419"/>
      <c r="F207" s="419"/>
      <c r="G207" s="419"/>
      <c r="H207" s="419"/>
      <c r="I207" s="419"/>
      <c r="J207" s="419"/>
      <c r="K207" s="419"/>
      <c r="L207" s="419"/>
      <c r="M207" s="419"/>
      <c r="N207" s="419"/>
      <c r="O207" s="419"/>
      <c r="P207" s="419"/>
      <c r="Q207" s="419"/>
      <c r="R207" s="420"/>
      <c r="S207" s="423"/>
      <c r="T207" s="406"/>
      <c r="U207" s="406"/>
      <c r="V207" s="406"/>
      <c r="W207" s="406"/>
      <c r="X207" s="406"/>
      <c r="Y207" s="425"/>
      <c r="Z207" s="425"/>
      <c r="AA207" s="425"/>
      <c r="AB207" s="425"/>
      <c r="AC207" s="425"/>
      <c r="AD207" s="425"/>
      <c r="AE207" s="425"/>
      <c r="AF207" s="425"/>
      <c r="AG207" s="425"/>
      <c r="AH207" s="407"/>
      <c r="AI207" s="408"/>
      <c r="AJ207" s="408"/>
      <c r="AK207" s="408"/>
      <c r="AL207" s="408"/>
      <c r="AM207" s="403"/>
      <c r="AN207" s="403"/>
      <c r="AO207" s="403"/>
      <c r="AP207" s="403"/>
      <c r="AQ207" s="404"/>
      <c r="AU207" s="53"/>
      <c r="AV207" s="53"/>
      <c r="AW207" s="53"/>
    </row>
    <row r="208" spans="2:49" ht="11.1" customHeight="1" thickBot="1" x14ac:dyDescent="0.25">
      <c r="B208" s="74"/>
      <c r="C208" s="80"/>
      <c r="D208" s="72"/>
      <c r="E208" s="73"/>
      <c r="F208" s="73"/>
      <c r="G208" s="73"/>
      <c r="H208" s="73"/>
      <c r="I208" s="73"/>
      <c r="J208" s="73" t="s">
        <v>54</v>
      </c>
      <c r="K208" s="73"/>
      <c r="L208" s="73"/>
      <c r="M208" s="73"/>
      <c r="N208" s="73"/>
      <c r="O208" s="67"/>
      <c r="P208" s="67"/>
      <c r="Q208" s="73"/>
      <c r="R208" s="83"/>
      <c r="S208" s="74"/>
      <c r="T208" s="67"/>
      <c r="U208" s="67"/>
      <c r="V208" s="67"/>
      <c r="W208" s="67"/>
      <c r="X208" s="67"/>
      <c r="Y208" s="409"/>
      <c r="Z208" s="409"/>
      <c r="AA208" s="409"/>
      <c r="AB208" s="409"/>
      <c r="AC208" s="409"/>
      <c r="AD208" s="409"/>
      <c r="AE208" s="409"/>
      <c r="AF208" s="410"/>
      <c r="AG208" s="411"/>
      <c r="AH208" s="84" t="s">
        <v>55</v>
      </c>
      <c r="AI208" s="67"/>
      <c r="AJ208" s="67"/>
      <c r="AK208" s="67"/>
      <c r="AL208" s="67"/>
      <c r="AM208" s="67"/>
      <c r="AN208" s="67"/>
      <c r="AO208" s="85"/>
      <c r="AP208" s="67"/>
      <c r="AQ208" s="81"/>
      <c r="AU208" s="53"/>
      <c r="AV208" s="53"/>
      <c r="AW208" s="53"/>
    </row>
    <row r="209" spans="2:49" ht="13.5" customHeight="1" thickBot="1" x14ac:dyDescent="0.3">
      <c r="B209" s="74"/>
      <c r="C209" s="80"/>
      <c r="D209" s="68"/>
      <c r="E209" s="78" t="s">
        <v>8</v>
      </c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412" t="s">
        <v>56</v>
      </c>
      <c r="R209" s="68"/>
      <c r="S209" s="68"/>
      <c r="T209" s="78" t="s">
        <v>7</v>
      </c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9"/>
      <c r="AF209" s="415" t="s">
        <v>56</v>
      </c>
      <c r="AG209" s="74"/>
      <c r="AH209" s="86" t="s">
        <v>57</v>
      </c>
      <c r="AI209" s="73"/>
      <c r="AJ209" s="73"/>
      <c r="AK209" s="73"/>
      <c r="AL209" s="73"/>
      <c r="AM209" s="73"/>
      <c r="AN209" s="73"/>
      <c r="AO209" s="87"/>
      <c r="AP209" s="67"/>
      <c r="AQ209" s="81"/>
      <c r="AU209" s="53"/>
      <c r="AV209" s="53"/>
      <c r="AW209" s="53"/>
    </row>
    <row r="210" spans="2:49" ht="12" customHeight="1" thickBot="1" x14ac:dyDescent="0.25">
      <c r="B210" s="74"/>
      <c r="C210" s="80"/>
      <c r="D210" s="418">
        <f>IF(($AU$9+6)&gt;$AX$9,"",VLOOKUP($AU$9+6,Spielplan,7,0))</f>
        <v>0</v>
      </c>
      <c r="E210" s="419"/>
      <c r="F210" s="419"/>
      <c r="G210" s="419"/>
      <c r="H210" s="419"/>
      <c r="I210" s="419"/>
      <c r="J210" s="419"/>
      <c r="K210" s="419"/>
      <c r="L210" s="419"/>
      <c r="M210" s="419"/>
      <c r="N210" s="419"/>
      <c r="O210" s="419"/>
      <c r="P210" s="420"/>
      <c r="Q210" s="413"/>
      <c r="R210" s="74"/>
      <c r="S210" s="418">
        <f>IF(($AU$9+6)&gt;$AX$9,"",VLOOKUP($AU$9+6,Spielplan,9,0))</f>
        <v>0</v>
      </c>
      <c r="T210" s="419"/>
      <c r="U210" s="419"/>
      <c r="V210" s="419"/>
      <c r="W210" s="419"/>
      <c r="X210" s="419"/>
      <c r="Y210" s="419"/>
      <c r="Z210" s="419"/>
      <c r="AA210" s="419"/>
      <c r="AB210" s="419"/>
      <c r="AC210" s="419"/>
      <c r="AD210" s="419"/>
      <c r="AE210" s="429"/>
      <c r="AF210" s="416"/>
      <c r="AG210" s="74"/>
      <c r="AH210" s="394" t="s">
        <v>58</v>
      </c>
      <c r="AI210" s="395"/>
      <c r="AJ210" s="395"/>
      <c r="AK210" s="395"/>
      <c r="AL210" s="395"/>
      <c r="AM210" s="396"/>
      <c r="AN210" s="88" t="s">
        <v>59</v>
      </c>
      <c r="AO210" s="89"/>
      <c r="AP210" s="89"/>
      <c r="AQ210" s="87"/>
      <c r="AU210" s="53"/>
      <c r="AV210" s="53"/>
      <c r="AW210" s="53"/>
    </row>
    <row r="211" spans="2:49" ht="12" customHeight="1" thickBot="1" x14ac:dyDescent="0.25">
      <c r="B211" s="72"/>
      <c r="C211" s="85"/>
      <c r="D211" s="426"/>
      <c r="E211" s="427"/>
      <c r="F211" s="427"/>
      <c r="G211" s="427"/>
      <c r="H211" s="427"/>
      <c r="I211" s="427"/>
      <c r="J211" s="427"/>
      <c r="K211" s="427"/>
      <c r="L211" s="427"/>
      <c r="M211" s="427"/>
      <c r="N211" s="427"/>
      <c r="O211" s="427"/>
      <c r="P211" s="428"/>
      <c r="Q211" s="414"/>
      <c r="R211" s="72"/>
      <c r="S211" s="426"/>
      <c r="T211" s="427"/>
      <c r="U211" s="427"/>
      <c r="V211" s="427"/>
      <c r="W211" s="427"/>
      <c r="X211" s="427"/>
      <c r="Y211" s="427"/>
      <c r="Z211" s="427"/>
      <c r="AA211" s="427"/>
      <c r="AB211" s="427"/>
      <c r="AC211" s="427"/>
      <c r="AD211" s="427"/>
      <c r="AE211" s="389"/>
      <c r="AF211" s="417"/>
      <c r="AG211" s="72"/>
      <c r="AH211" s="397"/>
      <c r="AI211" s="398"/>
      <c r="AJ211" s="398"/>
      <c r="AK211" s="398"/>
      <c r="AL211" s="398"/>
      <c r="AM211" s="399"/>
      <c r="AN211" s="88" t="s">
        <v>60</v>
      </c>
      <c r="AO211" s="89"/>
      <c r="AP211" s="89"/>
      <c r="AQ211" s="87"/>
      <c r="AU211" s="53"/>
      <c r="AV211" s="53"/>
      <c r="AW211" s="53"/>
    </row>
    <row r="212" spans="2:49" ht="9.9499999999999993" customHeight="1" thickBot="1" x14ac:dyDescent="0.25">
      <c r="B212" s="74"/>
      <c r="C212" s="7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81"/>
      <c r="AU212" s="53"/>
      <c r="AV212" s="53"/>
      <c r="AW212" s="53"/>
    </row>
    <row r="213" spans="2:49" x14ac:dyDescent="0.2">
      <c r="B213" s="68"/>
      <c r="C213" s="77" t="s">
        <v>59</v>
      </c>
      <c r="D213" s="90"/>
      <c r="E213" s="91"/>
      <c r="F213" s="91"/>
      <c r="G213" s="91"/>
      <c r="H213" s="92"/>
      <c r="I213" s="90"/>
      <c r="J213" s="91"/>
      <c r="K213" s="91"/>
      <c r="L213" s="91"/>
      <c r="M213" s="92"/>
      <c r="N213" s="90"/>
      <c r="O213" s="91"/>
      <c r="P213" s="91"/>
      <c r="Q213" s="91"/>
      <c r="R213" s="92"/>
      <c r="S213" s="90"/>
      <c r="T213" s="91"/>
      <c r="U213" s="91"/>
      <c r="V213" s="91"/>
      <c r="W213" s="92"/>
      <c r="X213" s="90"/>
      <c r="Y213" s="91"/>
      <c r="Z213" s="91"/>
      <c r="AA213" s="91"/>
      <c r="AB213" s="92"/>
      <c r="AC213" s="90"/>
      <c r="AD213" s="91"/>
      <c r="AE213" s="91"/>
      <c r="AF213" s="91"/>
      <c r="AG213" s="92"/>
      <c r="AH213" s="90"/>
      <c r="AI213" s="91"/>
      <c r="AJ213" s="91"/>
      <c r="AK213" s="91"/>
      <c r="AL213" s="91"/>
      <c r="AM213" s="206" t="s">
        <v>59</v>
      </c>
      <c r="AN213" s="392"/>
      <c r="AO213" s="392"/>
      <c r="AP213" s="392"/>
      <c r="AQ213" s="393"/>
      <c r="AU213" s="53"/>
      <c r="AV213" s="53"/>
      <c r="AW213" s="53"/>
    </row>
    <row r="214" spans="2:49" ht="13.5" thickBot="1" x14ac:dyDescent="0.25">
      <c r="B214" s="72"/>
      <c r="C214" s="85" t="s">
        <v>60</v>
      </c>
      <c r="D214" s="72"/>
      <c r="E214" s="93"/>
      <c r="F214" s="93"/>
      <c r="G214" s="93"/>
      <c r="H214" s="94"/>
      <c r="I214" s="72"/>
      <c r="J214" s="93"/>
      <c r="K214" s="93"/>
      <c r="L214" s="93"/>
      <c r="M214" s="94"/>
      <c r="N214" s="72"/>
      <c r="O214" s="93"/>
      <c r="P214" s="93"/>
      <c r="Q214" s="93"/>
      <c r="R214" s="94"/>
      <c r="S214" s="72"/>
      <c r="T214" s="93"/>
      <c r="U214" s="93"/>
      <c r="V214" s="93"/>
      <c r="W214" s="94"/>
      <c r="X214" s="72"/>
      <c r="Y214" s="93"/>
      <c r="Z214" s="93"/>
      <c r="AA214" s="93"/>
      <c r="AB214" s="94"/>
      <c r="AC214" s="72"/>
      <c r="AD214" s="93"/>
      <c r="AE214" s="93"/>
      <c r="AF214" s="93"/>
      <c r="AG214" s="94"/>
      <c r="AH214" s="72"/>
      <c r="AI214" s="93"/>
      <c r="AJ214" s="93"/>
      <c r="AK214" s="93"/>
      <c r="AL214" s="93"/>
      <c r="AM214" s="208" t="s">
        <v>60</v>
      </c>
      <c r="AN214" s="326"/>
      <c r="AO214" s="326"/>
      <c r="AP214" s="326"/>
      <c r="AQ214" s="327"/>
      <c r="AU214" s="53"/>
      <c r="AV214" s="53"/>
      <c r="AW214" s="53"/>
    </row>
    <row r="215" spans="2:49" x14ac:dyDescent="0.2">
      <c r="B215" s="68"/>
      <c r="C215" s="77" t="s">
        <v>59</v>
      </c>
      <c r="D215" s="90"/>
      <c r="E215" s="91"/>
      <c r="F215" s="91"/>
      <c r="G215" s="91"/>
      <c r="H215" s="92"/>
      <c r="I215" s="90"/>
      <c r="J215" s="91"/>
      <c r="K215" s="91"/>
      <c r="L215" s="91"/>
      <c r="M215" s="92"/>
      <c r="N215" s="90"/>
      <c r="O215" s="91"/>
      <c r="P215" s="91"/>
      <c r="Q215" s="91"/>
      <c r="R215" s="92"/>
      <c r="S215" s="90"/>
      <c r="T215" s="91"/>
      <c r="U215" s="91"/>
      <c r="V215" s="91"/>
      <c r="W215" s="92"/>
      <c r="X215" s="90"/>
      <c r="Y215" s="91"/>
      <c r="Z215" s="91"/>
      <c r="AA215" s="91"/>
      <c r="AB215" s="92"/>
      <c r="AC215" s="90"/>
      <c r="AD215" s="91"/>
      <c r="AE215" s="91"/>
      <c r="AF215" s="91"/>
      <c r="AG215" s="92"/>
      <c r="AH215" s="90"/>
      <c r="AI215" s="91"/>
      <c r="AJ215" s="91"/>
      <c r="AK215" s="91"/>
      <c r="AL215" s="91"/>
      <c r="AM215" s="206" t="s">
        <v>59</v>
      </c>
      <c r="AN215" s="392"/>
      <c r="AO215" s="392"/>
      <c r="AP215" s="392"/>
      <c r="AQ215" s="393"/>
      <c r="AU215" s="53"/>
      <c r="AV215" s="53"/>
      <c r="AW215" s="53"/>
    </row>
    <row r="216" spans="2:49" ht="13.5" thickBot="1" x14ac:dyDescent="0.25">
      <c r="B216" s="72"/>
      <c r="C216" s="85" t="s">
        <v>60</v>
      </c>
      <c r="D216" s="72"/>
      <c r="E216" s="93"/>
      <c r="F216" s="93"/>
      <c r="G216" s="93"/>
      <c r="H216" s="94"/>
      <c r="I216" s="72"/>
      <c r="J216" s="93"/>
      <c r="K216" s="93"/>
      <c r="L216" s="93"/>
      <c r="M216" s="94"/>
      <c r="N216" s="72"/>
      <c r="O216" s="93"/>
      <c r="P216" s="93"/>
      <c r="Q216" s="93"/>
      <c r="R216" s="94"/>
      <c r="S216" s="72"/>
      <c r="T216" s="93"/>
      <c r="U216" s="93"/>
      <c r="V216" s="93"/>
      <c r="W216" s="94"/>
      <c r="X216" s="72"/>
      <c r="Y216" s="93"/>
      <c r="Z216" s="93"/>
      <c r="AA216" s="93"/>
      <c r="AB216" s="94"/>
      <c r="AC216" s="72"/>
      <c r="AD216" s="93"/>
      <c r="AE216" s="93"/>
      <c r="AF216" s="93"/>
      <c r="AG216" s="94"/>
      <c r="AH216" s="72"/>
      <c r="AI216" s="93"/>
      <c r="AJ216" s="93"/>
      <c r="AK216" s="93"/>
      <c r="AL216" s="93"/>
      <c r="AM216" s="207" t="s">
        <v>60</v>
      </c>
      <c r="AN216" s="347"/>
      <c r="AO216" s="347"/>
      <c r="AP216" s="347"/>
      <c r="AQ216" s="348"/>
      <c r="AU216" s="53"/>
      <c r="AV216" s="53"/>
      <c r="AW216" s="53"/>
    </row>
    <row r="217" spans="2:49" x14ac:dyDescent="0.2">
      <c r="B217" s="68"/>
      <c r="C217" s="77" t="s">
        <v>59</v>
      </c>
      <c r="D217" s="90"/>
      <c r="E217" s="91"/>
      <c r="F217" s="91"/>
      <c r="G217" s="91"/>
      <c r="H217" s="92"/>
      <c r="I217" s="90"/>
      <c r="J217" s="91"/>
      <c r="K217" s="91"/>
      <c r="L217" s="91"/>
      <c r="M217" s="92"/>
      <c r="N217" s="90"/>
      <c r="O217" s="91"/>
      <c r="P217" s="91"/>
      <c r="Q217" s="91"/>
      <c r="R217" s="92"/>
      <c r="S217" s="90"/>
      <c r="T217" s="91"/>
      <c r="U217" s="91"/>
      <c r="V217" s="91"/>
      <c r="W217" s="92"/>
      <c r="X217" s="90"/>
      <c r="Y217" s="91"/>
      <c r="Z217" s="91"/>
      <c r="AA217" s="91"/>
      <c r="AB217" s="92"/>
      <c r="AC217" s="90"/>
      <c r="AD217" s="91"/>
      <c r="AE217" s="91"/>
      <c r="AF217" s="91"/>
      <c r="AG217" s="92"/>
      <c r="AH217" s="90"/>
      <c r="AI217" s="91"/>
      <c r="AJ217" s="91"/>
      <c r="AK217" s="91"/>
      <c r="AL217" s="91"/>
      <c r="AM217" s="206" t="s">
        <v>59</v>
      </c>
      <c r="AN217" s="392"/>
      <c r="AO217" s="392"/>
      <c r="AP217" s="392"/>
      <c r="AQ217" s="393"/>
      <c r="AU217" s="53"/>
      <c r="AV217" s="53"/>
      <c r="AW217" s="53"/>
    </row>
    <row r="218" spans="2:49" ht="13.5" thickBot="1" x14ac:dyDescent="0.25">
      <c r="B218" s="72"/>
      <c r="C218" s="85" t="s">
        <v>60</v>
      </c>
      <c r="D218" s="72"/>
      <c r="E218" s="93"/>
      <c r="F218" s="93"/>
      <c r="G218" s="93"/>
      <c r="H218" s="94"/>
      <c r="I218" s="72"/>
      <c r="J218" s="93"/>
      <c r="K218" s="93"/>
      <c r="L218" s="93"/>
      <c r="M218" s="94"/>
      <c r="N218" s="72"/>
      <c r="O218" s="93"/>
      <c r="P218" s="93"/>
      <c r="Q218" s="93"/>
      <c r="R218" s="94"/>
      <c r="S218" s="72"/>
      <c r="T218" s="93"/>
      <c r="U218" s="93"/>
      <c r="V218" s="93"/>
      <c r="W218" s="94"/>
      <c r="X218" s="72"/>
      <c r="Y218" s="93"/>
      <c r="Z218" s="93"/>
      <c r="AA218" s="93"/>
      <c r="AB218" s="94"/>
      <c r="AC218" s="72"/>
      <c r="AD218" s="93"/>
      <c r="AE218" s="93"/>
      <c r="AF218" s="93"/>
      <c r="AG218" s="94"/>
      <c r="AH218" s="72"/>
      <c r="AI218" s="93"/>
      <c r="AJ218" s="93"/>
      <c r="AK218" s="93"/>
      <c r="AL218" s="93"/>
      <c r="AM218" s="207" t="s">
        <v>60</v>
      </c>
      <c r="AN218" s="347"/>
      <c r="AO218" s="347"/>
      <c r="AP218" s="347"/>
      <c r="AQ218" s="348"/>
      <c r="AU218" s="53"/>
      <c r="AV218" s="53"/>
      <c r="AW218" s="53"/>
    </row>
    <row r="219" spans="2:49" ht="9.9499999999999993" customHeight="1" x14ac:dyDescent="0.2">
      <c r="B219" s="74"/>
      <c r="C219" s="74"/>
      <c r="D219" s="378" t="s">
        <v>61</v>
      </c>
      <c r="E219" s="379"/>
      <c r="F219" s="380"/>
      <c r="G219" s="384" t="s">
        <v>62</v>
      </c>
      <c r="H219" s="385"/>
      <c r="I219" s="385"/>
      <c r="J219" s="385"/>
      <c r="K219" s="385"/>
      <c r="L219" s="385"/>
      <c r="M219" s="385"/>
      <c r="N219" s="385"/>
      <c r="O219" s="386"/>
      <c r="P219" s="390" t="s">
        <v>56</v>
      </c>
      <c r="Q219" s="390" t="s">
        <v>63</v>
      </c>
      <c r="R219" s="67"/>
      <c r="S219" s="378" t="s">
        <v>61</v>
      </c>
      <c r="T219" s="379"/>
      <c r="U219" s="380"/>
      <c r="V219" s="384" t="s">
        <v>62</v>
      </c>
      <c r="W219" s="385"/>
      <c r="X219" s="385"/>
      <c r="Y219" s="385"/>
      <c r="Z219" s="385"/>
      <c r="AA219" s="385"/>
      <c r="AB219" s="385"/>
      <c r="AC219" s="385"/>
      <c r="AD219" s="386"/>
      <c r="AE219" s="390" t="s">
        <v>56</v>
      </c>
      <c r="AF219" s="390" t="s">
        <v>63</v>
      </c>
      <c r="AG219" s="95"/>
      <c r="AH219" s="96"/>
      <c r="AI219" s="96"/>
      <c r="AJ219" s="96"/>
      <c r="AK219" s="96"/>
      <c r="AL219" s="96"/>
      <c r="AM219" s="114"/>
      <c r="AN219" s="377" t="s">
        <v>1</v>
      </c>
      <c r="AO219" s="377"/>
      <c r="AP219" s="377" t="s">
        <v>2</v>
      </c>
      <c r="AQ219" s="377"/>
      <c r="AR219" s="97"/>
      <c r="AU219" s="53"/>
      <c r="AV219" s="53"/>
      <c r="AW219" s="53"/>
    </row>
    <row r="220" spans="2:49" ht="13.5" thickBot="1" x14ac:dyDescent="0.25">
      <c r="B220" s="74"/>
      <c r="C220" s="74"/>
      <c r="D220" s="381"/>
      <c r="E220" s="382"/>
      <c r="F220" s="383"/>
      <c r="G220" s="387"/>
      <c r="H220" s="388"/>
      <c r="I220" s="388"/>
      <c r="J220" s="388"/>
      <c r="K220" s="388"/>
      <c r="L220" s="388"/>
      <c r="M220" s="388"/>
      <c r="N220" s="388"/>
      <c r="O220" s="389"/>
      <c r="P220" s="391"/>
      <c r="Q220" s="391"/>
      <c r="R220" s="67"/>
      <c r="S220" s="381"/>
      <c r="T220" s="382"/>
      <c r="U220" s="383"/>
      <c r="V220" s="387"/>
      <c r="W220" s="388"/>
      <c r="X220" s="388"/>
      <c r="Y220" s="388"/>
      <c r="Z220" s="388"/>
      <c r="AA220" s="388"/>
      <c r="AB220" s="388"/>
      <c r="AC220" s="388"/>
      <c r="AD220" s="389"/>
      <c r="AE220" s="391"/>
      <c r="AF220" s="391"/>
      <c r="AG220" s="98"/>
      <c r="AH220" s="67"/>
      <c r="AI220" s="99" t="s">
        <v>64</v>
      </c>
      <c r="AJ220" s="99"/>
      <c r="AK220" s="99"/>
      <c r="AL220" s="99"/>
      <c r="AM220" s="99"/>
      <c r="AN220" s="99"/>
      <c r="AO220" s="100"/>
      <c r="AP220" s="100"/>
      <c r="AQ220" s="101"/>
      <c r="AR220" s="97"/>
      <c r="AU220" s="53"/>
      <c r="AV220" s="53"/>
      <c r="AW220" s="53"/>
    </row>
    <row r="221" spans="2:49" ht="13.5" customHeight="1" x14ac:dyDescent="0.2">
      <c r="B221" s="74"/>
      <c r="C221" s="74"/>
      <c r="D221" s="216"/>
      <c r="E221" s="209"/>
      <c r="F221" s="210"/>
      <c r="G221" s="211" t="s">
        <v>65</v>
      </c>
      <c r="H221" s="212"/>
      <c r="I221" s="212"/>
      <c r="J221" s="212"/>
      <c r="K221" s="212"/>
      <c r="L221" s="212"/>
      <c r="M221" s="212"/>
      <c r="N221" s="212"/>
      <c r="O221" s="213"/>
      <c r="P221" s="214"/>
      <c r="Q221" s="214"/>
      <c r="R221" s="215"/>
      <c r="S221" s="216"/>
      <c r="T221" s="209"/>
      <c r="U221" s="210"/>
      <c r="V221" s="211" t="s">
        <v>65</v>
      </c>
      <c r="W221" s="212"/>
      <c r="X221" s="212"/>
      <c r="Y221" s="212"/>
      <c r="Z221" s="212"/>
      <c r="AA221" s="212"/>
      <c r="AB221" s="212"/>
      <c r="AC221" s="212"/>
      <c r="AD221" s="213"/>
      <c r="AE221" s="214"/>
      <c r="AF221" s="214"/>
      <c r="AG221" s="365" t="s">
        <v>83</v>
      </c>
      <c r="AH221" s="366"/>
      <c r="AI221" s="366"/>
      <c r="AJ221" s="367"/>
      <c r="AK221" s="371" t="s">
        <v>66</v>
      </c>
      <c r="AL221" s="372"/>
      <c r="AM221" s="372"/>
      <c r="AN221" s="372"/>
      <c r="AO221" s="372"/>
      <c r="AP221" s="372"/>
      <c r="AQ221" s="373"/>
      <c r="AU221" s="53"/>
      <c r="AV221" s="53"/>
      <c r="AW221" s="53"/>
    </row>
    <row r="222" spans="2:49" ht="13.5" customHeight="1" thickBot="1" x14ac:dyDescent="0.25">
      <c r="B222" s="74"/>
      <c r="C222" s="74"/>
      <c r="D222" s="216"/>
      <c r="E222" s="209"/>
      <c r="F222" s="210"/>
      <c r="G222" s="217">
        <v>2</v>
      </c>
      <c r="H222" s="209"/>
      <c r="I222" s="209"/>
      <c r="J222" s="209"/>
      <c r="K222" s="209"/>
      <c r="L222" s="209"/>
      <c r="M222" s="209"/>
      <c r="N222" s="209"/>
      <c r="O222" s="210"/>
      <c r="P222" s="214"/>
      <c r="Q222" s="214"/>
      <c r="R222" s="215"/>
      <c r="S222" s="216"/>
      <c r="T222" s="209"/>
      <c r="U222" s="210"/>
      <c r="V222" s="217">
        <v>2</v>
      </c>
      <c r="W222" s="209"/>
      <c r="X222" s="209"/>
      <c r="Y222" s="209"/>
      <c r="Z222" s="209"/>
      <c r="AA222" s="209"/>
      <c r="AB222" s="209"/>
      <c r="AC222" s="209"/>
      <c r="AD222" s="210"/>
      <c r="AE222" s="214"/>
      <c r="AF222" s="214"/>
      <c r="AG222" s="368"/>
      <c r="AH222" s="369"/>
      <c r="AI222" s="369"/>
      <c r="AJ222" s="370"/>
      <c r="AK222" s="374"/>
      <c r="AL222" s="375"/>
      <c r="AM222" s="375"/>
      <c r="AN222" s="375"/>
      <c r="AO222" s="375"/>
      <c r="AP222" s="375"/>
      <c r="AQ222" s="376"/>
      <c r="AU222" s="53"/>
      <c r="AV222" s="53"/>
      <c r="AW222" s="53"/>
    </row>
    <row r="223" spans="2:49" ht="13.5" customHeight="1" x14ac:dyDescent="0.2">
      <c r="B223" s="74"/>
      <c r="C223" s="74"/>
      <c r="D223" s="216"/>
      <c r="E223" s="209"/>
      <c r="F223" s="210"/>
      <c r="G223" s="217">
        <v>3</v>
      </c>
      <c r="H223" s="209"/>
      <c r="I223" s="209"/>
      <c r="J223" s="209"/>
      <c r="K223" s="209"/>
      <c r="L223" s="209"/>
      <c r="M223" s="209"/>
      <c r="N223" s="209"/>
      <c r="O223" s="210"/>
      <c r="P223" s="214"/>
      <c r="Q223" s="214"/>
      <c r="R223" s="215"/>
      <c r="S223" s="216"/>
      <c r="T223" s="209"/>
      <c r="U223" s="210"/>
      <c r="V223" s="217">
        <v>3</v>
      </c>
      <c r="W223" s="209"/>
      <c r="X223" s="209"/>
      <c r="Y223" s="209"/>
      <c r="Z223" s="209"/>
      <c r="AA223" s="209"/>
      <c r="AB223" s="209"/>
      <c r="AC223" s="209"/>
      <c r="AD223" s="210"/>
      <c r="AE223" s="214"/>
      <c r="AF223" s="214"/>
      <c r="AG223" s="365" t="s">
        <v>2</v>
      </c>
      <c r="AH223" s="366"/>
      <c r="AI223" s="366"/>
      <c r="AJ223" s="367"/>
      <c r="AK223" s="371" t="s">
        <v>66</v>
      </c>
      <c r="AL223" s="372"/>
      <c r="AM223" s="372"/>
      <c r="AN223" s="372"/>
      <c r="AO223" s="372"/>
      <c r="AP223" s="372"/>
      <c r="AQ223" s="373"/>
      <c r="AU223" s="53"/>
      <c r="AV223" s="53"/>
      <c r="AW223" s="53"/>
    </row>
    <row r="224" spans="2:49" ht="13.5" customHeight="1" thickBot="1" x14ac:dyDescent="0.25">
      <c r="B224" s="74"/>
      <c r="C224" s="74"/>
      <c r="D224" s="216"/>
      <c r="E224" s="209"/>
      <c r="F224" s="210"/>
      <c r="G224" s="217">
        <v>4</v>
      </c>
      <c r="H224" s="209"/>
      <c r="I224" s="209"/>
      <c r="J224" s="209"/>
      <c r="K224" s="209"/>
      <c r="L224" s="209"/>
      <c r="M224" s="209"/>
      <c r="N224" s="209"/>
      <c r="O224" s="210"/>
      <c r="P224" s="214"/>
      <c r="Q224" s="214"/>
      <c r="R224" s="215"/>
      <c r="S224" s="216"/>
      <c r="T224" s="209"/>
      <c r="U224" s="210"/>
      <c r="V224" s="217">
        <v>4</v>
      </c>
      <c r="W224" s="209"/>
      <c r="X224" s="209"/>
      <c r="Y224" s="209"/>
      <c r="Z224" s="209"/>
      <c r="AA224" s="209"/>
      <c r="AB224" s="209"/>
      <c r="AC224" s="209"/>
      <c r="AD224" s="210"/>
      <c r="AE224" s="214"/>
      <c r="AF224" s="214"/>
      <c r="AG224" s="368"/>
      <c r="AH224" s="369"/>
      <c r="AI224" s="369"/>
      <c r="AJ224" s="370"/>
      <c r="AK224" s="374"/>
      <c r="AL224" s="375"/>
      <c r="AM224" s="375"/>
      <c r="AN224" s="375"/>
      <c r="AO224" s="375"/>
      <c r="AP224" s="375"/>
      <c r="AQ224" s="376"/>
      <c r="AU224" s="53"/>
      <c r="AV224" s="53"/>
      <c r="AW224" s="53"/>
    </row>
    <row r="225" spans="2:49" ht="13.5" customHeight="1" x14ac:dyDescent="0.2">
      <c r="B225" s="74"/>
      <c r="C225" s="74"/>
      <c r="D225" s="216"/>
      <c r="E225" s="209"/>
      <c r="F225" s="210"/>
      <c r="G225" s="217">
        <v>5</v>
      </c>
      <c r="H225" s="209"/>
      <c r="I225" s="209"/>
      <c r="J225" s="209"/>
      <c r="K225" s="209"/>
      <c r="L225" s="209"/>
      <c r="M225" s="209"/>
      <c r="N225" s="209"/>
      <c r="O225" s="210"/>
      <c r="P225" s="214"/>
      <c r="Q225" s="214"/>
      <c r="R225" s="215"/>
      <c r="S225" s="216"/>
      <c r="T225" s="209"/>
      <c r="U225" s="210"/>
      <c r="V225" s="217">
        <v>5</v>
      </c>
      <c r="W225" s="209"/>
      <c r="X225" s="209"/>
      <c r="Y225" s="209"/>
      <c r="Z225" s="209"/>
      <c r="AA225" s="209"/>
      <c r="AB225" s="209"/>
      <c r="AC225" s="209"/>
      <c r="AD225" s="210"/>
      <c r="AE225" s="214"/>
      <c r="AF225" s="214"/>
      <c r="AG225" s="102" t="s">
        <v>67</v>
      </c>
      <c r="AH225" s="70"/>
      <c r="AI225" s="70"/>
      <c r="AJ225" s="70"/>
      <c r="AK225" s="70"/>
      <c r="AL225" s="70"/>
      <c r="AM225" s="70"/>
      <c r="AN225" s="70"/>
      <c r="AO225" s="70" t="s">
        <v>68</v>
      </c>
      <c r="AP225" s="70"/>
      <c r="AQ225" s="79"/>
      <c r="AU225" s="53"/>
      <c r="AV225" s="53"/>
      <c r="AW225" s="53"/>
    </row>
    <row r="226" spans="2:49" ht="13.5" customHeight="1" x14ac:dyDescent="0.2">
      <c r="B226" s="74"/>
      <c r="C226" s="74"/>
      <c r="D226" s="216"/>
      <c r="E226" s="209"/>
      <c r="F226" s="210"/>
      <c r="G226" s="217">
        <v>6</v>
      </c>
      <c r="H226" s="209"/>
      <c r="I226" s="209"/>
      <c r="J226" s="209"/>
      <c r="K226" s="209"/>
      <c r="L226" s="209"/>
      <c r="M226" s="209"/>
      <c r="N226" s="209"/>
      <c r="O226" s="210"/>
      <c r="P226" s="214"/>
      <c r="Q226" s="214"/>
      <c r="R226" s="215"/>
      <c r="S226" s="216"/>
      <c r="T226" s="209"/>
      <c r="U226" s="210"/>
      <c r="V226" s="217">
        <v>6</v>
      </c>
      <c r="W226" s="209"/>
      <c r="X226" s="209"/>
      <c r="Y226" s="209"/>
      <c r="Z226" s="209"/>
      <c r="AA226" s="209"/>
      <c r="AB226" s="209"/>
      <c r="AC226" s="209"/>
      <c r="AD226" s="210"/>
      <c r="AE226" s="214"/>
      <c r="AF226" s="214"/>
      <c r="AG226" s="103"/>
      <c r="AH226" s="67"/>
      <c r="AI226" s="67"/>
      <c r="AJ226" s="67"/>
      <c r="AK226" s="67"/>
      <c r="AL226" s="67"/>
      <c r="AM226" s="67"/>
      <c r="AN226" s="67"/>
      <c r="AO226" s="67"/>
      <c r="AP226" s="67"/>
      <c r="AQ226" s="81"/>
      <c r="AU226" s="53"/>
      <c r="AV226" s="53"/>
      <c r="AW226" s="53"/>
    </row>
    <row r="227" spans="2:49" ht="13.5" customHeight="1" thickBot="1" x14ac:dyDescent="0.25">
      <c r="B227" s="74"/>
      <c r="C227" s="74"/>
      <c r="D227" s="216"/>
      <c r="E227" s="209"/>
      <c r="F227" s="210"/>
      <c r="G227" s="217">
        <v>7</v>
      </c>
      <c r="H227" s="209"/>
      <c r="I227" s="209"/>
      <c r="J227" s="209"/>
      <c r="K227" s="209"/>
      <c r="L227" s="209"/>
      <c r="M227" s="209"/>
      <c r="N227" s="209"/>
      <c r="O227" s="210"/>
      <c r="P227" s="214"/>
      <c r="Q227" s="214"/>
      <c r="R227" s="215"/>
      <c r="S227" s="216"/>
      <c r="T227" s="209"/>
      <c r="U227" s="210"/>
      <c r="V227" s="217">
        <v>7</v>
      </c>
      <c r="W227" s="209"/>
      <c r="X227" s="209"/>
      <c r="Y227" s="209"/>
      <c r="Z227" s="209"/>
      <c r="AA227" s="209"/>
      <c r="AB227" s="209"/>
      <c r="AC227" s="209"/>
      <c r="AD227" s="210"/>
      <c r="AE227" s="214"/>
      <c r="AF227" s="214"/>
      <c r="AG227" s="74" t="s">
        <v>69</v>
      </c>
      <c r="AH227" s="67"/>
      <c r="AI227" s="67"/>
      <c r="AJ227" s="67"/>
      <c r="AK227" s="67"/>
      <c r="AL227" s="67"/>
      <c r="AM227" s="67"/>
      <c r="AN227" s="67"/>
      <c r="AO227" s="67"/>
      <c r="AP227" s="67"/>
      <c r="AQ227" s="81"/>
      <c r="AU227" s="53"/>
      <c r="AV227" s="53"/>
      <c r="AW227" s="53"/>
    </row>
    <row r="228" spans="2:49" ht="13.5" customHeight="1" thickBot="1" x14ac:dyDescent="0.25">
      <c r="B228" s="74"/>
      <c r="C228" s="74"/>
      <c r="D228" s="222"/>
      <c r="E228" s="218"/>
      <c r="F228" s="219"/>
      <c r="G228" s="220">
        <v>8</v>
      </c>
      <c r="H228" s="218"/>
      <c r="I228" s="218"/>
      <c r="J228" s="218"/>
      <c r="K228" s="218"/>
      <c r="L228" s="218"/>
      <c r="M228" s="218"/>
      <c r="N228" s="218"/>
      <c r="O228" s="219"/>
      <c r="P228" s="221"/>
      <c r="Q228" s="221"/>
      <c r="R228" s="215"/>
      <c r="S228" s="222"/>
      <c r="T228" s="218"/>
      <c r="U228" s="219"/>
      <c r="V228" s="220">
        <v>8</v>
      </c>
      <c r="W228" s="218"/>
      <c r="X228" s="218"/>
      <c r="Y228" s="218"/>
      <c r="Z228" s="218"/>
      <c r="AA228" s="218"/>
      <c r="AB228" s="218"/>
      <c r="AC228" s="218"/>
      <c r="AD228" s="219"/>
      <c r="AE228" s="221"/>
      <c r="AF228" s="221"/>
      <c r="AG228" s="104" t="s">
        <v>70</v>
      </c>
      <c r="AH228" s="70"/>
      <c r="AI228" s="70"/>
      <c r="AJ228" s="70"/>
      <c r="AK228" s="70"/>
      <c r="AL228" s="70"/>
      <c r="AM228" s="70"/>
      <c r="AN228" s="70"/>
      <c r="AO228" s="70"/>
      <c r="AP228" s="70"/>
      <c r="AQ228" s="79"/>
      <c r="AU228" s="53"/>
      <c r="AV228" s="53"/>
      <c r="AW228" s="53"/>
    </row>
    <row r="229" spans="2:49" ht="13.5" customHeight="1" thickBot="1" x14ac:dyDescent="0.25">
      <c r="B229" s="74"/>
      <c r="C229" s="74"/>
      <c r="D229" s="89"/>
      <c r="E229" s="105"/>
      <c r="F229" s="105"/>
      <c r="G229" s="105"/>
      <c r="H229" s="105"/>
      <c r="I229" s="105"/>
      <c r="J229" s="106" t="s">
        <v>71</v>
      </c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7"/>
      <c r="AG229" s="84" t="s">
        <v>72</v>
      </c>
      <c r="AH229" s="67"/>
      <c r="AI229" s="67"/>
      <c r="AJ229" s="67"/>
      <c r="AK229" s="67"/>
      <c r="AL229" s="67"/>
      <c r="AM229" s="67"/>
      <c r="AN229" s="67"/>
      <c r="AO229" s="67"/>
      <c r="AP229" s="67"/>
      <c r="AQ229" s="81"/>
      <c r="AU229" s="53"/>
      <c r="AV229" s="53"/>
      <c r="AW229" s="53"/>
    </row>
    <row r="230" spans="2:49" ht="13.5" customHeight="1" thickBot="1" x14ac:dyDescent="0.25">
      <c r="B230" s="74"/>
      <c r="C230" s="74"/>
      <c r="D230" s="108" t="s">
        <v>73</v>
      </c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7"/>
      <c r="S230" s="108" t="s">
        <v>74</v>
      </c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7"/>
      <c r="AG230" s="109" t="s">
        <v>75</v>
      </c>
      <c r="AH230" s="110"/>
      <c r="AI230" s="110"/>
      <c r="AJ230" s="110"/>
      <c r="AK230" s="110"/>
      <c r="AL230" s="87"/>
      <c r="AM230" s="111" t="s">
        <v>76</v>
      </c>
      <c r="AN230" s="110"/>
      <c r="AO230" s="110"/>
      <c r="AP230" s="110"/>
      <c r="AQ230" s="87"/>
      <c r="AU230" s="53"/>
      <c r="AV230" s="53"/>
      <c r="AW230" s="53"/>
    </row>
    <row r="231" spans="2:49" ht="17.25" customHeight="1" thickBot="1" x14ac:dyDescent="0.25">
      <c r="B231" s="72"/>
      <c r="C231" s="72"/>
      <c r="D231" s="108" t="s">
        <v>77</v>
      </c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7"/>
      <c r="S231" s="108" t="s">
        <v>6</v>
      </c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7"/>
      <c r="AG231" s="112" t="s">
        <v>78</v>
      </c>
      <c r="AH231" s="73"/>
      <c r="AI231" s="73"/>
      <c r="AJ231" s="73"/>
      <c r="AK231" s="73"/>
      <c r="AL231" s="87"/>
      <c r="AM231" s="113" t="s">
        <v>79</v>
      </c>
      <c r="AN231" s="73"/>
      <c r="AO231" s="73"/>
      <c r="AP231" s="73"/>
      <c r="AQ231" s="87"/>
      <c r="AU231" s="53"/>
      <c r="AV231" s="53"/>
      <c r="AW231" s="53"/>
    </row>
    <row r="232" spans="2:49" ht="17.25" customHeight="1" thickBot="1" x14ac:dyDescent="0.25">
      <c r="B232" s="67"/>
      <c r="C232" s="67"/>
      <c r="D232" s="114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114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115"/>
      <c r="AH232" s="67"/>
      <c r="AI232" s="67"/>
      <c r="AJ232" s="67"/>
      <c r="AK232" s="67"/>
      <c r="AL232" s="67"/>
      <c r="AM232" s="116"/>
      <c r="AN232" s="67"/>
      <c r="AO232" s="67"/>
      <c r="AP232" s="67"/>
      <c r="AQ232" s="67"/>
      <c r="AU232" s="53"/>
      <c r="AV232" s="53"/>
      <c r="AW232" s="53"/>
    </row>
    <row r="233" spans="2:49" ht="17.25" customHeight="1" x14ac:dyDescent="0.25">
      <c r="B233" s="68"/>
      <c r="C233" s="68"/>
      <c r="D233" s="69" t="s">
        <v>44</v>
      </c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1" t="s">
        <v>89</v>
      </c>
      <c r="Z233" s="70"/>
      <c r="AA233" s="70"/>
      <c r="AB233" s="70"/>
      <c r="AC233" s="70"/>
      <c r="AD233" s="70"/>
      <c r="AE233" s="70"/>
      <c r="AF233" s="70"/>
      <c r="AG233" s="70"/>
      <c r="AH233" s="441" t="s">
        <v>45</v>
      </c>
      <c r="AI233" s="442"/>
      <c r="AJ233" s="442"/>
      <c r="AK233" s="442"/>
      <c r="AL233" s="442"/>
      <c r="AM233" s="443">
        <f>IF(($AU$9+7)&gt;$AX$9,"",VLOOKUP($AU$9+7,Spielplan,3,0))</f>
        <v>9.722222222222221E-2</v>
      </c>
      <c r="AN233" s="443"/>
      <c r="AO233" s="443"/>
      <c r="AP233" s="443"/>
      <c r="AQ233" s="444"/>
      <c r="AU233" s="53"/>
      <c r="AV233" s="53"/>
      <c r="AW233" s="53"/>
    </row>
    <row r="234" spans="2:49" ht="0.75" customHeight="1" thickBot="1" x14ac:dyDescent="0.25">
      <c r="B234" s="72"/>
      <c r="C234" s="72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4"/>
      <c r="AI234" s="67"/>
      <c r="AJ234" s="67"/>
      <c r="AK234" s="67"/>
      <c r="AL234" s="67"/>
      <c r="AM234" s="75"/>
      <c r="AN234" s="75"/>
      <c r="AO234" s="75"/>
      <c r="AP234" s="75"/>
      <c r="AQ234" s="76"/>
      <c r="AU234" s="53"/>
      <c r="AV234" s="53"/>
      <c r="AW234" s="53"/>
    </row>
    <row r="235" spans="2:49" ht="15" x14ac:dyDescent="0.25">
      <c r="B235" s="68"/>
      <c r="C235" s="77"/>
      <c r="D235" s="68"/>
      <c r="E235" s="78" t="s">
        <v>6</v>
      </c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9"/>
      <c r="S235" s="439" t="s">
        <v>46</v>
      </c>
      <c r="T235" s="440"/>
      <c r="U235" s="440"/>
      <c r="V235" s="440"/>
      <c r="W235" s="440"/>
      <c r="X235" s="440"/>
      <c r="Y235" s="366" t="str">
        <f>IF(($AU$9+7)&gt;$AX$9,"","SHTV")</f>
        <v>SHTV</v>
      </c>
      <c r="Z235" s="366"/>
      <c r="AA235" s="366"/>
      <c r="AB235" s="366"/>
      <c r="AC235" s="366"/>
      <c r="AD235" s="366"/>
      <c r="AE235" s="366"/>
      <c r="AF235" s="366"/>
      <c r="AG235" s="366"/>
      <c r="AH235" s="430" t="s">
        <v>47</v>
      </c>
      <c r="AI235" s="431"/>
      <c r="AJ235" s="431"/>
      <c r="AK235" s="431"/>
      <c r="AL235" s="431"/>
      <c r="AM235" s="434">
        <f>IF(($AU$9+7)&gt;$AX$9,"",VLOOKUP($AU$9+7,Spielplan,4,0))</f>
        <v>5</v>
      </c>
      <c r="AN235" s="435"/>
      <c r="AO235" s="435"/>
      <c r="AP235" s="435"/>
      <c r="AQ235" s="436"/>
      <c r="AU235" s="53"/>
      <c r="AV235" s="53"/>
      <c r="AW235" s="53"/>
    </row>
    <row r="236" spans="2:49" ht="9.9499999999999993" customHeight="1" x14ac:dyDescent="0.2">
      <c r="B236" s="74"/>
      <c r="C236" s="80"/>
      <c r="D236" s="74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81"/>
      <c r="S236" s="423"/>
      <c r="T236" s="406"/>
      <c r="U236" s="406"/>
      <c r="V236" s="406"/>
      <c r="W236" s="406"/>
      <c r="X236" s="406"/>
      <c r="Y236" s="425"/>
      <c r="Z236" s="425"/>
      <c r="AA236" s="425"/>
      <c r="AB236" s="425"/>
      <c r="AC236" s="425"/>
      <c r="AD236" s="425"/>
      <c r="AE236" s="425"/>
      <c r="AF236" s="425"/>
      <c r="AG236" s="425"/>
      <c r="AH236" s="432"/>
      <c r="AI236" s="433"/>
      <c r="AJ236" s="433"/>
      <c r="AK236" s="433"/>
      <c r="AL236" s="433"/>
      <c r="AM236" s="437"/>
      <c r="AN236" s="437"/>
      <c r="AO236" s="437"/>
      <c r="AP236" s="437"/>
      <c r="AQ236" s="438"/>
      <c r="AU236" s="53"/>
      <c r="AV236" s="53"/>
      <c r="AW236" s="53"/>
    </row>
    <row r="237" spans="2:49" ht="13.15" customHeight="1" x14ac:dyDescent="0.2">
      <c r="B237" s="74"/>
      <c r="C237" s="80"/>
      <c r="D237" s="74"/>
      <c r="E237" s="67" t="s">
        <v>48</v>
      </c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81"/>
      <c r="S237" s="422" t="s">
        <v>49</v>
      </c>
      <c r="T237" s="406"/>
      <c r="U237" s="406"/>
      <c r="V237" s="406"/>
      <c r="W237" s="406"/>
      <c r="X237" s="406"/>
      <c r="Y237" s="425">
        <f>IF(($AU$9+7)&gt;$AX$9,"",Platzierung!$U$3)</f>
        <v>0</v>
      </c>
      <c r="Z237" s="425"/>
      <c r="AA237" s="425"/>
      <c r="AB237" s="425"/>
      <c r="AC237" s="425"/>
      <c r="AD237" s="425"/>
      <c r="AE237" s="425"/>
      <c r="AF237" s="425"/>
      <c r="AG237" s="425"/>
      <c r="AH237" s="430" t="s">
        <v>50</v>
      </c>
      <c r="AI237" s="431"/>
      <c r="AJ237" s="431"/>
      <c r="AK237" s="431"/>
      <c r="AL237" s="431"/>
      <c r="AM237" s="434">
        <f>IF(($AU$9+7)&gt;$AX$9,"",VLOOKUP($AU$9+7,Spielplan,6,0))</f>
        <v>8</v>
      </c>
      <c r="AN237" s="435"/>
      <c r="AO237" s="435"/>
      <c r="AP237" s="435"/>
      <c r="AQ237" s="436"/>
      <c r="AU237" s="53"/>
      <c r="AV237" s="53"/>
      <c r="AW237" s="53"/>
    </row>
    <row r="238" spans="2:49" ht="9.9499999999999993" customHeight="1" x14ac:dyDescent="0.2">
      <c r="B238" s="74"/>
      <c r="C238" s="80"/>
      <c r="D238" s="74"/>
      <c r="E238" s="67"/>
      <c r="F238" s="67"/>
      <c r="G238" s="67"/>
      <c r="H238" s="67"/>
      <c r="I238" s="67"/>
      <c r="J238" s="82" t="s">
        <v>51</v>
      </c>
      <c r="K238" s="67"/>
      <c r="L238" s="67"/>
      <c r="M238" s="67"/>
      <c r="N238" s="67"/>
      <c r="O238" s="67"/>
      <c r="P238" s="67"/>
      <c r="Q238" s="67"/>
      <c r="R238" s="81"/>
      <c r="S238" s="423"/>
      <c r="T238" s="406"/>
      <c r="U238" s="406"/>
      <c r="V238" s="406"/>
      <c r="W238" s="406"/>
      <c r="X238" s="406"/>
      <c r="Y238" s="425"/>
      <c r="Z238" s="425"/>
      <c r="AA238" s="425"/>
      <c r="AB238" s="425"/>
      <c r="AC238" s="425"/>
      <c r="AD238" s="425"/>
      <c r="AE238" s="425"/>
      <c r="AF238" s="425"/>
      <c r="AG238" s="425"/>
      <c r="AH238" s="432"/>
      <c r="AI238" s="433"/>
      <c r="AJ238" s="433"/>
      <c r="AK238" s="433"/>
      <c r="AL238" s="433"/>
      <c r="AM238" s="437"/>
      <c r="AN238" s="437"/>
      <c r="AO238" s="437"/>
      <c r="AP238" s="437"/>
      <c r="AQ238" s="438"/>
      <c r="AU238" s="53"/>
      <c r="AV238" s="53"/>
      <c r="AW238" s="53"/>
    </row>
    <row r="239" spans="2:49" ht="15.75" customHeight="1" x14ac:dyDescent="0.2">
      <c r="B239" s="74"/>
      <c r="C239" s="80"/>
      <c r="D239" s="418">
        <f>IF(($AU$9+7)&gt;$AX$9,"",VLOOKUP($AU$9+7,Spielplan,10,0))</f>
        <v>0</v>
      </c>
      <c r="E239" s="419"/>
      <c r="F239" s="419"/>
      <c r="G239" s="419"/>
      <c r="H239" s="419"/>
      <c r="I239" s="419"/>
      <c r="J239" s="419"/>
      <c r="K239" s="419"/>
      <c r="L239" s="419"/>
      <c r="M239" s="419"/>
      <c r="N239" s="419"/>
      <c r="O239" s="419"/>
      <c r="P239" s="419"/>
      <c r="Q239" s="419"/>
      <c r="R239" s="420"/>
      <c r="S239" s="422" t="s">
        <v>52</v>
      </c>
      <c r="T239" s="406"/>
      <c r="U239" s="406"/>
      <c r="V239" s="406"/>
      <c r="W239" s="406"/>
      <c r="X239" s="406"/>
      <c r="Y239" s="424">
        <f>IF(($AU$9+7)&gt;$AX$9,"",VLOOKUP($AU$9+7,Spielplan,2,0))</f>
        <v>0</v>
      </c>
      <c r="Z239" s="425"/>
      <c r="AA239" s="425"/>
      <c r="AB239" s="425"/>
      <c r="AC239" s="425"/>
      <c r="AD239" s="425"/>
      <c r="AE239" s="425"/>
      <c r="AF239" s="425"/>
      <c r="AG239" s="425"/>
      <c r="AH239" s="405" t="s">
        <v>53</v>
      </c>
      <c r="AI239" s="406"/>
      <c r="AJ239" s="406"/>
      <c r="AK239" s="406"/>
      <c r="AL239" s="406"/>
      <c r="AM239" s="400">
        <f>IF(($AU$9+7)&gt;$AX$9,"",VLOOKUP($AU$9+7,Spielplan,5,0))</f>
        <v>1</v>
      </c>
      <c r="AN239" s="401"/>
      <c r="AO239" s="401"/>
      <c r="AP239" s="401"/>
      <c r="AQ239" s="402"/>
      <c r="AU239" s="53"/>
      <c r="AV239" s="53"/>
      <c r="AW239" s="53"/>
    </row>
    <row r="240" spans="2:49" ht="11.1" customHeight="1" thickBot="1" x14ac:dyDescent="0.25">
      <c r="B240" s="74"/>
      <c r="C240" s="80"/>
      <c r="D240" s="421"/>
      <c r="E240" s="419"/>
      <c r="F240" s="419"/>
      <c r="G240" s="419"/>
      <c r="H240" s="419"/>
      <c r="I240" s="419"/>
      <c r="J240" s="419"/>
      <c r="K240" s="419"/>
      <c r="L240" s="419"/>
      <c r="M240" s="419"/>
      <c r="N240" s="419"/>
      <c r="O240" s="419"/>
      <c r="P240" s="419"/>
      <c r="Q240" s="419"/>
      <c r="R240" s="420"/>
      <c r="S240" s="423"/>
      <c r="T240" s="406"/>
      <c r="U240" s="406"/>
      <c r="V240" s="406"/>
      <c r="W240" s="406"/>
      <c r="X240" s="406"/>
      <c r="Y240" s="425"/>
      <c r="Z240" s="425"/>
      <c r="AA240" s="425"/>
      <c r="AB240" s="425"/>
      <c r="AC240" s="425"/>
      <c r="AD240" s="425"/>
      <c r="AE240" s="425"/>
      <c r="AF240" s="425"/>
      <c r="AG240" s="425"/>
      <c r="AH240" s="407"/>
      <c r="AI240" s="408"/>
      <c r="AJ240" s="408"/>
      <c r="AK240" s="408"/>
      <c r="AL240" s="408"/>
      <c r="AM240" s="403"/>
      <c r="AN240" s="403"/>
      <c r="AO240" s="403"/>
      <c r="AP240" s="403"/>
      <c r="AQ240" s="404"/>
      <c r="AU240" s="53"/>
      <c r="AV240" s="53"/>
      <c r="AW240" s="53"/>
    </row>
    <row r="241" spans="2:49" ht="11.1" customHeight="1" thickBot="1" x14ac:dyDescent="0.25">
      <c r="B241" s="74"/>
      <c r="C241" s="80"/>
      <c r="D241" s="72"/>
      <c r="E241" s="73"/>
      <c r="F241" s="73"/>
      <c r="G241" s="73"/>
      <c r="H241" s="73"/>
      <c r="I241" s="73"/>
      <c r="J241" s="73" t="s">
        <v>54</v>
      </c>
      <c r="K241" s="73"/>
      <c r="L241" s="73"/>
      <c r="M241" s="73"/>
      <c r="N241" s="73"/>
      <c r="O241" s="67"/>
      <c r="P241" s="67"/>
      <c r="Q241" s="73"/>
      <c r="R241" s="83"/>
      <c r="S241" s="74"/>
      <c r="T241" s="67"/>
      <c r="U241" s="67"/>
      <c r="V241" s="67"/>
      <c r="W241" s="67"/>
      <c r="X241" s="67"/>
      <c r="Y241" s="409"/>
      <c r="Z241" s="409"/>
      <c r="AA241" s="409"/>
      <c r="AB241" s="409"/>
      <c r="AC241" s="409"/>
      <c r="AD241" s="409"/>
      <c r="AE241" s="409"/>
      <c r="AF241" s="410"/>
      <c r="AG241" s="411"/>
      <c r="AH241" s="84" t="s">
        <v>55</v>
      </c>
      <c r="AI241" s="67"/>
      <c r="AJ241" s="67"/>
      <c r="AK241" s="67"/>
      <c r="AL241" s="67"/>
      <c r="AM241" s="67"/>
      <c r="AN241" s="67"/>
      <c r="AO241" s="85"/>
      <c r="AP241" s="67"/>
      <c r="AQ241" s="81"/>
      <c r="AU241" s="53"/>
      <c r="AV241" s="53"/>
      <c r="AW241" s="53"/>
    </row>
    <row r="242" spans="2:49" ht="13.5" customHeight="1" thickBot="1" x14ac:dyDescent="0.3">
      <c r="B242" s="74"/>
      <c r="C242" s="80"/>
      <c r="D242" s="68"/>
      <c r="E242" s="78" t="s">
        <v>8</v>
      </c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412" t="s">
        <v>56</v>
      </c>
      <c r="R242" s="68"/>
      <c r="S242" s="68"/>
      <c r="T242" s="78" t="s">
        <v>7</v>
      </c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9"/>
      <c r="AF242" s="415" t="s">
        <v>56</v>
      </c>
      <c r="AG242" s="74"/>
      <c r="AH242" s="86" t="s">
        <v>57</v>
      </c>
      <c r="AI242" s="73"/>
      <c r="AJ242" s="73"/>
      <c r="AK242" s="73"/>
      <c r="AL242" s="73"/>
      <c r="AM242" s="73"/>
      <c r="AN242" s="73"/>
      <c r="AO242" s="87"/>
      <c r="AP242" s="67"/>
      <c r="AQ242" s="81"/>
      <c r="AU242" s="53"/>
      <c r="AV242" s="53"/>
      <c r="AW242" s="53"/>
    </row>
    <row r="243" spans="2:49" ht="12" customHeight="1" thickBot="1" x14ac:dyDescent="0.25">
      <c r="B243" s="74"/>
      <c r="C243" s="80"/>
      <c r="D243" s="418">
        <f>IF(($AU$9+7)&gt;$AX$9,"",VLOOKUP($AU$9+7,Spielplan,7,0))</f>
        <v>0</v>
      </c>
      <c r="E243" s="419"/>
      <c r="F243" s="419"/>
      <c r="G243" s="419"/>
      <c r="H243" s="419"/>
      <c r="I243" s="419"/>
      <c r="J243" s="419"/>
      <c r="K243" s="419"/>
      <c r="L243" s="419"/>
      <c r="M243" s="419"/>
      <c r="N243" s="419"/>
      <c r="O243" s="419"/>
      <c r="P243" s="420"/>
      <c r="Q243" s="413"/>
      <c r="R243" s="74"/>
      <c r="S243" s="418">
        <f>IF(($AU$9+7)&gt;$AX$9,"",VLOOKUP($AU$9+7,Spielplan,9,0))</f>
        <v>0</v>
      </c>
      <c r="T243" s="419"/>
      <c r="U243" s="419"/>
      <c r="V243" s="419"/>
      <c r="W243" s="419"/>
      <c r="X243" s="419"/>
      <c r="Y243" s="419"/>
      <c r="Z243" s="419"/>
      <c r="AA243" s="419"/>
      <c r="AB243" s="419"/>
      <c r="AC243" s="419"/>
      <c r="AD243" s="419"/>
      <c r="AE243" s="429"/>
      <c r="AF243" s="416"/>
      <c r="AG243" s="74"/>
      <c r="AH243" s="394" t="s">
        <v>58</v>
      </c>
      <c r="AI243" s="395"/>
      <c r="AJ243" s="395"/>
      <c r="AK243" s="395"/>
      <c r="AL243" s="395"/>
      <c r="AM243" s="396"/>
      <c r="AN243" s="88" t="s">
        <v>59</v>
      </c>
      <c r="AO243" s="89"/>
      <c r="AP243" s="89"/>
      <c r="AQ243" s="87"/>
      <c r="AU243" s="53"/>
      <c r="AV243" s="53"/>
      <c r="AW243" s="53"/>
    </row>
    <row r="244" spans="2:49" ht="12" customHeight="1" thickBot="1" x14ac:dyDescent="0.25">
      <c r="B244" s="72"/>
      <c r="C244" s="85"/>
      <c r="D244" s="426"/>
      <c r="E244" s="427"/>
      <c r="F244" s="427"/>
      <c r="G244" s="427"/>
      <c r="H244" s="427"/>
      <c r="I244" s="427"/>
      <c r="J244" s="427"/>
      <c r="K244" s="427"/>
      <c r="L244" s="427"/>
      <c r="M244" s="427"/>
      <c r="N244" s="427"/>
      <c r="O244" s="427"/>
      <c r="P244" s="428"/>
      <c r="Q244" s="414"/>
      <c r="R244" s="72"/>
      <c r="S244" s="426"/>
      <c r="T244" s="427"/>
      <c r="U244" s="427"/>
      <c r="V244" s="427"/>
      <c r="W244" s="427"/>
      <c r="X244" s="427"/>
      <c r="Y244" s="427"/>
      <c r="Z244" s="427"/>
      <c r="AA244" s="427"/>
      <c r="AB244" s="427"/>
      <c r="AC244" s="427"/>
      <c r="AD244" s="427"/>
      <c r="AE244" s="389"/>
      <c r="AF244" s="417"/>
      <c r="AG244" s="72"/>
      <c r="AH244" s="397"/>
      <c r="AI244" s="398"/>
      <c r="AJ244" s="398"/>
      <c r="AK244" s="398"/>
      <c r="AL244" s="398"/>
      <c r="AM244" s="399"/>
      <c r="AN244" s="88" t="s">
        <v>60</v>
      </c>
      <c r="AO244" s="89"/>
      <c r="AP244" s="89"/>
      <c r="AQ244" s="87"/>
      <c r="AU244" s="53"/>
      <c r="AV244" s="53"/>
      <c r="AW244" s="53"/>
    </row>
    <row r="245" spans="2:49" ht="9.9499999999999993" customHeight="1" thickBot="1" x14ac:dyDescent="0.25">
      <c r="B245" s="74"/>
      <c r="C245" s="7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81"/>
      <c r="AU245" s="53"/>
      <c r="AV245" s="53"/>
      <c r="AW245" s="53"/>
    </row>
    <row r="246" spans="2:49" x14ac:dyDescent="0.2">
      <c r="B246" s="68"/>
      <c r="C246" s="77" t="s">
        <v>59</v>
      </c>
      <c r="D246" s="90"/>
      <c r="E246" s="91"/>
      <c r="F246" s="91"/>
      <c r="G246" s="91"/>
      <c r="H246" s="92"/>
      <c r="I246" s="90"/>
      <c r="J246" s="91"/>
      <c r="K246" s="91"/>
      <c r="L246" s="91"/>
      <c r="M246" s="92"/>
      <c r="N246" s="90"/>
      <c r="O246" s="91"/>
      <c r="P246" s="91"/>
      <c r="Q246" s="91"/>
      <c r="R246" s="92"/>
      <c r="S246" s="90"/>
      <c r="T246" s="91"/>
      <c r="U246" s="91"/>
      <c r="V246" s="91"/>
      <c r="W246" s="92"/>
      <c r="X246" s="90"/>
      <c r="Y246" s="91"/>
      <c r="Z246" s="91"/>
      <c r="AA246" s="91"/>
      <c r="AB246" s="92"/>
      <c r="AC246" s="90"/>
      <c r="AD246" s="91"/>
      <c r="AE246" s="91"/>
      <c r="AF246" s="91"/>
      <c r="AG246" s="92"/>
      <c r="AH246" s="90"/>
      <c r="AI246" s="91"/>
      <c r="AJ246" s="91"/>
      <c r="AK246" s="91"/>
      <c r="AL246" s="91"/>
      <c r="AM246" s="206" t="s">
        <v>59</v>
      </c>
      <c r="AN246" s="392"/>
      <c r="AO246" s="392"/>
      <c r="AP246" s="392"/>
      <c r="AQ246" s="393"/>
      <c r="AU246" s="53"/>
      <c r="AV246" s="53"/>
      <c r="AW246" s="53"/>
    </row>
    <row r="247" spans="2:49" ht="13.5" thickBot="1" x14ac:dyDescent="0.25">
      <c r="B247" s="72"/>
      <c r="C247" s="85" t="s">
        <v>60</v>
      </c>
      <c r="D247" s="72"/>
      <c r="E247" s="93"/>
      <c r="F247" s="93"/>
      <c r="G247" s="93"/>
      <c r="H247" s="94"/>
      <c r="I247" s="72"/>
      <c r="J247" s="93"/>
      <c r="K247" s="93"/>
      <c r="L247" s="93"/>
      <c r="M247" s="94"/>
      <c r="N247" s="72"/>
      <c r="O247" s="93"/>
      <c r="P247" s="93"/>
      <c r="Q247" s="93"/>
      <c r="R247" s="94"/>
      <c r="S247" s="72"/>
      <c r="T247" s="93"/>
      <c r="U247" s="93"/>
      <c r="V247" s="93"/>
      <c r="W247" s="94"/>
      <c r="X247" s="72"/>
      <c r="Y247" s="93"/>
      <c r="Z247" s="93"/>
      <c r="AA247" s="93"/>
      <c r="AB247" s="94"/>
      <c r="AC247" s="72"/>
      <c r="AD247" s="93"/>
      <c r="AE247" s="93"/>
      <c r="AF247" s="93"/>
      <c r="AG247" s="94"/>
      <c r="AH247" s="72"/>
      <c r="AI247" s="93"/>
      <c r="AJ247" s="93"/>
      <c r="AK247" s="93"/>
      <c r="AL247" s="93"/>
      <c r="AM247" s="208" t="s">
        <v>60</v>
      </c>
      <c r="AN247" s="326"/>
      <c r="AO247" s="326"/>
      <c r="AP247" s="326"/>
      <c r="AQ247" s="327"/>
      <c r="AU247" s="53"/>
      <c r="AV247" s="53"/>
      <c r="AW247" s="53"/>
    </row>
    <row r="248" spans="2:49" x14ac:dyDescent="0.2">
      <c r="B248" s="68"/>
      <c r="C248" s="77" t="s">
        <v>59</v>
      </c>
      <c r="D248" s="90"/>
      <c r="E248" s="91"/>
      <c r="F248" s="91"/>
      <c r="G248" s="91"/>
      <c r="H248" s="92"/>
      <c r="I248" s="90"/>
      <c r="J248" s="91"/>
      <c r="K248" s="91"/>
      <c r="L248" s="91"/>
      <c r="M248" s="92"/>
      <c r="N248" s="90"/>
      <c r="O248" s="91"/>
      <c r="P248" s="91"/>
      <c r="Q248" s="91"/>
      <c r="R248" s="92"/>
      <c r="S248" s="90"/>
      <c r="T248" s="91"/>
      <c r="U248" s="91"/>
      <c r="V248" s="91"/>
      <c r="W248" s="92"/>
      <c r="X248" s="90"/>
      <c r="Y248" s="91"/>
      <c r="Z248" s="91"/>
      <c r="AA248" s="91"/>
      <c r="AB248" s="92"/>
      <c r="AC248" s="90"/>
      <c r="AD248" s="91"/>
      <c r="AE248" s="91"/>
      <c r="AF248" s="91"/>
      <c r="AG248" s="92"/>
      <c r="AH248" s="90"/>
      <c r="AI248" s="91"/>
      <c r="AJ248" s="91"/>
      <c r="AK248" s="91"/>
      <c r="AL248" s="91"/>
      <c r="AM248" s="206" t="s">
        <v>59</v>
      </c>
      <c r="AN248" s="392"/>
      <c r="AO248" s="392"/>
      <c r="AP248" s="392"/>
      <c r="AQ248" s="393"/>
      <c r="AU248" s="53"/>
      <c r="AV248" s="53"/>
      <c r="AW248" s="53"/>
    </row>
    <row r="249" spans="2:49" ht="13.5" thickBot="1" x14ac:dyDescent="0.25">
      <c r="B249" s="72"/>
      <c r="C249" s="85" t="s">
        <v>60</v>
      </c>
      <c r="D249" s="72"/>
      <c r="E249" s="93"/>
      <c r="F249" s="93"/>
      <c r="G249" s="93"/>
      <c r="H249" s="94"/>
      <c r="I249" s="72"/>
      <c r="J249" s="93"/>
      <c r="K249" s="93"/>
      <c r="L249" s="93"/>
      <c r="M249" s="94"/>
      <c r="N249" s="72"/>
      <c r="O249" s="93"/>
      <c r="P249" s="93"/>
      <c r="Q249" s="93"/>
      <c r="R249" s="94"/>
      <c r="S249" s="72"/>
      <c r="T249" s="93"/>
      <c r="U249" s="93"/>
      <c r="V249" s="93"/>
      <c r="W249" s="94"/>
      <c r="X249" s="72"/>
      <c r="Y249" s="93"/>
      <c r="Z249" s="93"/>
      <c r="AA249" s="93"/>
      <c r="AB249" s="94"/>
      <c r="AC249" s="72"/>
      <c r="AD249" s="93"/>
      <c r="AE249" s="93"/>
      <c r="AF249" s="93"/>
      <c r="AG249" s="94"/>
      <c r="AH249" s="72"/>
      <c r="AI249" s="93"/>
      <c r="AJ249" s="93"/>
      <c r="AK249" s="93"/>
      <c r="AL249" s="93"/>
      <c r="AM249" s="207" t="s">
        <v>60</v>
      </c>
      <c r="AN249" s="347"/>
      <c r="AO249" s="347"/>
      <c r="AP249" s="347"/>
      <c r="AQ249" s="348"/>
      <c r="AU249" s="53"/>
      <c r="AV249" s="53"/>
      <c r="AW249" s="53"/>
    </row>
    <row r="250" spans="2:49" x14ac:dyDescent="0.2">
      <c r="B250" s="68"/>
      <c r="C250" s="77" t="s">
        <v>59</v>
      </c>
      <c r="D250" s="90"/>
      <c r="E250" s="91"/>
      <c r="F250" s="91"/>
      <c r="G250" s="91"/>
      <c r="H250" s="92"/>
      <c r="I250" s="90"/>
      <c r="J250" s="91"/>
      <c r="K250" s="91"/>
      <c r="L250" s="91"/>
      <c r="M250" s="92"/>
      <c r="N250" s="90"/>
      <c r="O250" s="91"/>
      <c r="P250" s="91"/>
      <c r="Q250" s="91"/>
      <c r="R250" s="92"/>
      <c r="S250" s="90"/>
      <c r="T250" s="91"/>
      <c r="U250" s="91"/>
      <c r="V250" s="91"/>
      <c r="W250" s="92"/>
      <c r="X250" s="90"/>
      <c r="Y250" s="91"/>
      <c r="Z250" s="91"/>
      <c r="AA250" s="91"/>
      <c r="AB250" s="92"/>
      <c r="AC250" s="90"/>
      <c r="AD250" s="91"/>
      <c r="AE250" s="91"/>
      <c r="AF250" s="91"/>
      <c r="AG250" s="92"/>
      <c r="AH250" s="90"/>
      <c r="AI250" s="91"/>
      <c r="AJ250" s="91"/>
      <c r="AK250" s="91"/>
      <c r="AL250" s="91"/>
      <c r="AM250" s="206" t="s">
        <v>59</v>
      </c>
      <c r="AN250" s="392"/>
      <c r="AO250" s="392"/>
      <c r="AP250" s="392"/>
      <c r="AQ250" s="393"/>
      <c r="AU250" s="53"/>
      <c r="AV250" s="53"/>
      <c r="AW250" s="53"/>
    </row>
    <row r="251" spans="2:49" ht="13.5" thickBot="1" x14ac:dyDescent="0.25">
      <c r="B251" s="72"/>
      <c r="C251" s="85" t="s">
        <v>60</v>
      </c>
      <c r="D251" s="72"/>
      <c r="E251" s="93"/>
      <c r="F251" s="93"/>
      <c r="G251" s="93"/>
      <c r="H251" s="94"/>
      <c r="I251" s="72"/>
      <c r="J251" s="93"/>
      <c r="K251" s="93"/>
      <c r="L251" s="93"/>
      <c r="M251" s="94"/>
      <c r="N251" s="72"/>
      <c r="O251" s="93"/>
      <c r="P251" s="93"/>
      <c r="Q251" s="93"/>
      <c r="R251" s="94"/>
      <c r="S251" s="72"/>
      <c r="T251" s="93"/>
      <c r="U251" s="93"/>
      <c r="V251" s="93"/>
      <c r="W251" s="94"/>
      <c r="X251" s="72"/>
      <c r="Y251" s="93"/>
      <c r="Z251" s="93"/>
      <c r="AA251" s="93"/>
      <c r="AB251" s="94"/>
      <c r="AC251" s="72"/>
      <c r="AD251" s="93"/>
      <c r="AE251" s="93"/>
      <c r="AF251" s="93"/>
      <c r="AG251" s="94"/>
      <c r="AH251" s="72"/>
      <c r="AI251" s="93"/>
      <c r="AJ251" s="93"/>
      <c r="AK251" s="93"/>
      <c r="AL251" s="93"/>
      <c r="AM251" s="207" t="s">
        <v>60</v>
      </c>
      <c r="AN251" s="347"/>
      <c r="AO251" s="347"/>
      <c r="AP251" s="347"/>
      <c r="AQ251" s="348"/>
      <c r="AU251" s="53"/>
      <c r="AV251" s="53"/>
      <c r="AW251" s="53"/>
    </row>
    <row r="252" spans="2:49" ht="9.9499999999999993" customHeight="1" x14ac:dyDescent="0.2">
      <c r="B252" s="74"/>
      <c r="C252" s="74"/>
      <c r="D252" s="378" t="s">
        <v>61</v>
      </c>
      <c r="E252" s="379"/>
      <c r="F252" s="380"/>
      <c r="G252" s="384" t="s">
        <v>62</v>
      </c>
      <c r="H252" s="385"/>
      <c r="I252" s="385"/>
      <c r="J252" s="385"/>
      <c r="K252" s="385"/>
      <c r="L252" s="385"/>
      <c r="M252" s="385"/>
      <c r="N252" s="385"/>
      <c r="O252" s="386"/>
      <c r="P252" s="390" t="s">
        <v>56</v>
      </c>
      <c r="Q252" s="390" t="s">
        <v>63</v>
      </c>
      <c r="R252" s="67"/>
      <c r="S252" s="378" t="s">
        <v>61</v>
      </c>
      <c r="T252" s="379"/>
      <c r="U252" s="380"/>
      <c r="V252" s="384" t="s">
        <v>62</v>
      </c>
      <c r="W252" s="385"/>
      <c r="X252" s="385"/>
      <c r="Y252" s="385"/>
      <c r="Z252" s="385"/>
      <c r="AA252" s="385"/>
      <c r="AB252" s="385"/>
      <c r="AC252" s="385"/>
      <c r="AD252" s="386"/>
      <c r="AE252" s="390" t="s">
        <v>56</v>
      </c>
      <c r="AF252" s="390" t="s">
        <v>63</v>
      </c>
      <c r="AG252" s="95"/>
      <c r="AH252" s="96"/>
      <c r="AI252" s="96"/>
      <c r="AJ252" s="96"/>
      <c r="AK252" s="96"/>
      <c r="AL252" s="96"/>
      <c r="AM252" s="114"/>
      <c r="AN252" s="377" t="s">
        <v>1</v>
      </c>
      <c r="AO252" s="377"/>
      <c r="AP252" s="377" t="s">
        <v>2</v>
      </c>
      <c r="AQ252" s="377"/>
      <c r="AR252" s="97"/>
      <c r="AU252" s="53"/>
      <c r="AV252" s="53"/>
      <c r="AW252" s="53"/>
    </row>
    <row r="253" spans="2:49" ht="13.5" thickBot="1" x14ac:dyDescent="0.25">
      <c r="B253" s="74"/>
      <c r="C253" s="74"/>
      <c r="D253" s="381"/>
      <c r="E253" s="382"/>
      <c r="F253" s="383"/>
      <c r="G253" s="387"/>
      <c r="H253" s="388"/>
      <c r="I253" s="388"/>
      <c r="J253" s="388"/>
      <c r="K253" s="388"/>
      <c r="L253" s="388"/>
      <c r="M253" s="388"/>
      <c r="N253" s="388"/>
      <c r="O253" s="389"/>
      <c r="P253" s="391"/>
      <c r="Q253" s="391"/>
      <c r="R253" s="67"/>
      <c r="S253" s="381"/>
      <c r="T253" s="382"/>
      <c r="U253" s="383"/>
      <c r="V253" s="387"/>
      <c r="W253" s="388"/>
      <c r="X253" s="388"/>
      <c r="Y253" s="388"/>
      <c r="Z253" s="388"/>
      <c r="AA253" s="388"/>
      <c r="AB253" s="388"/>
      <c r="AC253" s="388"/>
      <c r="AD253" s="389"/>
      <c r="AE253" s="391"/>
      <c r="AF253" s="391"/>
      <c r="AG253" s="98"/>
      <c r="AH253" s="67"/>
      <c r="AI253" s="99" t="s">
        <v>64</v>
      </c>
      <c r="AJ253" s="99"/>
      <c r="AK253" s="99"/>
      <c r="AL253" s="99"/>
      <c r="AM253" s="99"/>
      <c r="AN253" s="99"/>
      <c r="AO253" s="100"/>
      <c r="AP253" s="100"/>
      <c r="AQ253" s="101"/>
      <c r="AR253" s="97"/>
      <c r="AU253" s="53"/>
      <c r="AV253" s="53"/>
      <c r="AW253" s="53"/>
    </row>
    <row r="254" spans="2:49" ht="13.5" customHeight="1" x14ac:dyDescent="0.2">
      <c r="B254" s="74"/>
      <c r="C254" s="74"/>
      <c r="D254" s="216"/>
      <c r="E254" s="209"/>
      <c r="F254" s="210"/>
      <c r="G254" s="211" t="s">
        <v>65</v>
      </c>
      <c r="H254" s="212"/>
      <c r="I254" s="212"/>
      <c r="J254" s="212"/>
      <c r="K254" s="212"/>
      <c r="L254" s="212"/>
      <c r="M254" s="212"/>
      <c r="N254" s="212"/>
      <c r="O254" s="213"/>
      <c r="P254" s="214"/>
      <c r="Q254" s="214"/>
      <c r="R254" s="215"/>
      <c r="S254" s="216"/>
      <c r="T254" s="209"/>
      <c r="U254" s="210"/>
      <c r="V254" s="211" t="s">
        <v>65</v>
      </c>
      <c r="W254" s="212"/>
      <c r="X254" s="212"/>
      <c r="Y254" s="212"/>
      <c r="Z254" s="212"/>
      <c r="AA254" s="212"/>
      <c r="AB254" s="212"/>
      <c r="AC254" s="212"/>
      <c r="AD254" s="213"/>
      <c r="AE254" s="214"/>
      <c r="AF254" s="214"/>
      <c r="AG254" s="365" t="s">
        <v>83</v>
      </c>
      <c r="AH254" s="366"/>
      <c r="AI254" s="366"/>
      <c r="AJ254" s="367"/>
      <c r="AK254" s="371" t="s">
        <v>66</v>
      </c>
      <c r="AL254" s="372"/>
      <c r="AM254" s="372"/>
      <c r="AN254" s="372"/>
      <c r="AO254" s="372"/>
      <c r="AP254" s="372"/>
      <c r="AQ254" s="373"/>
      <c r="AU254" s="53"/>
      <c r="AV254" s="53"/>
      <c r="AW254" s="53"/>
    </row>
    <row r="255" spans="2:49" ht="13.5" customHeight="1" thickBot="1" x14ac:dyDescent="0.25">
      <c r="B255" s="74"/>
      <c r="C255" s="74"/>
      <c r="D255" s="216"/>
      <c r="E255" s="209"/>
      <c r="F255" s="210"/>
      <c r="G255" s="217">
        <v>2</v>
      </c>
      <c r="H255" s="209"/>
      <c r="I255" s="209"/>
      <c r="J255" s="209"/>
      <c r="K255" s="209"/>
      <c r="L255" s="209"/>
      <c r="M255" s="209"/>
      <c r="N255" s="209"/>
      <c r="O255" s="210"/>
      <c r="P255" s="214"/>
      <c r="Q255" s="214"/>
      <c r="R255" s="215"/>
      <c r="S255" s="216"/>
      <c r="T255" s="209"/>
      <c r="U255" s="210"/>
      <c r="V255" s="217">
        <v>2</v>
      </c>
      <c r="W255" s="209"/>
      <c r="X255" s="209"/>
      <c r="Y255" s="209"/>
      <c r="Z255" s="209"/>
      <c r="AA255" s="209"/>
      <c r="AB255" s="209"/>
      <c r="AC255" s="209"/>
      <c r="AD255" s="210"/>
      <c r="AE255" s="214"/>
      <c r="AF255" s="214"/>
      <c r="AG255" s="368"/>
      <c r="AH255" s="369"/>
      <c r="AI255" s="369"/>
      <c r="AJ255" s="370"/>
      <c r="AK255" s="374"/>
      <c r="AL255" s="375"/>
      <c r="AM255" s="375"/>
      <c r="AN255" s="375"/>
      <c r="AO255" s="375"/>
      <c r="AP255" s="375"/>
      <c r="AQ255" s="376"/>
      <c r="AU255" s="53"/>
      <c r="AV255" s="53"/>
      <c r="AW255" s="53"/>
    </row>
    <row r="256" spans="2:49" ht="13.5" customHeight="1" x14ac:dyDescent="0.2">
      <c r="B256" s="74"/>
      <c r="C256" s="74"/>
      <c r="D256" s="216"/>
      <c r="E256" s="209"/>
      <c r="F256" s="210"/>
      <c r="G256" s="217">
        <v>3</v>
      </c>
      <c r="H256" s="209"/>
      <c r="I256" s="209"/>
      <c r="J256" s="209"/>
      <c r="K256" s="209"/>
      <c r="L256" s="209"/>
      <c r="M256" s="209"/>
      <c r="N256" s="209"/>
      <c r="O256" s="210"/>
      <c r="P256" s="214"/>
      <c r="Q256" s="214"/>
      <c r="R256" s="215"/>
      <c r="S256" s="216"/>
      <c r="T256" s="209"/>
      <c r="U256" s="210"/>
      <c r="V256" s="217">
        <v>3</v>
      </c>
      <c r="W256" s="209"/>
      <c r="X256" s="209"/>
      <c r="Y256" s="209"/>
      <c r="Z256" s="209"/>
      <c r="AA256" s="209"/>
      <c r="AB256" s="209"/>
      <c r="AC256" s="209"/>
      <c r="AD256" s="210"/>
      <c r="AE256" s="214"/>
      <c r="AF256" s="214"/>
      <c r="AG256" s="365" t="s">
        <v>2</v>
      </c>
      <c r="AH256" s="366"/>
      <c r="AI256" s="366"/>
      <c r="AJ256" s="367"/>
      <c r="AK256" s="371" t="s">
        <v>66</v>
      </c>
      <c r="AL256" s="372"/>
      <c r="AM256" s="372"/>
      <c r="AN256" s="372"/>
      <c r="AO256" s="372"/>
      <c r="AP256" s="372"/>
      <c r="AQ256" s="373"/>
      <c r="AU256" s="53"/>
      <c r="AV256" s="53"/>
      <c r="AW256" s="53"/>
    </row>
    <row r="257" spans="2:49" ht="13.5" customHeight="1" thickBot="1" x14ac:dyDescent="0.25">
      <c r="B257" s="74"/>
      <c r="C257" s="74"/>
      <c r="D257" s="216"/>
      <c r="E257" s="209"/>
      <c r="F257" s="210"/>
      <c r="G257" s="217">
        <v>4</v>
      </c>
      <c r="H257" s="209"/>
      <c r="I257" s="209"/>
      <c r="J257" s="209"/>
      <c r="K257" s="209"/>
      <c r="L257" s="209"/>
      <c r="M257" s="209"/>
      <c r="N257" s="209"/>
      <c r="O257" s="210"/>
      <c r="P257" s="214"/>
      <c r="Q257" s="214"/>
      <c r="R257" s="215"/>
      <c r="S257" s="216"/>
      <c r="T257" s="209"/>
      <c r="U257" s="210"/>
      <c r="V257" s="217">
        <v>4</v>
      </c>
      <c r="W257" s="209"/>
      <c r="X257" s="209"/>
      <c r="Y257" s="209"/>
      <c r="Z257" s="209"/>
      <c r="AA257" s="209"/>
      <c r="AB257" s="209"/>
      <c r="AC257" s="209"/>
      <c r="AD257" s="210"/>
      <c r="AE257" s="214"/>
      <c r="AF257" s="214"/>
      <c r="AG257" s="368"/>
      <c r="AH257" s="369"/>
      <c r="AI257" s="369"/>
      <c r="AJ257" s="370"/>
      <c r="AK257" s="374"/>
      <c r="AL257" s="375"/>
      <c r="AM257" s="375"/>
      <c r="AN257" s="375"/>
      <c r="AO257" s="375"/>
      <c r="AP257" s="375"/>
      <c r="AQ257" s="376"/>
      <c r="AU257" s="53"/>
      <c r="AV257" s="53"/>
      <c r="AW257" s="53"/>
    </row>
    <row r="258" spans="2:49" ht="13.5" customHeight="1" x14ac:dyDescent="0.2">
      <c r="B258" s="74"/>
      <c r="C258" s="74"/>
      <c r="D258" s="216"/>
      <c r="E258" s="209"/>
      <c r="F258" s="210"/>
      <c r="G258" s="217">
        <v>5</v>
      </c>
      <c r="H258" s="209"/>
      <c r="I258" s="209"/>
      <c r="J258" s="209"/>
      <c r="K258" s="209"/>
      <c r="L258" s="209"/>
      <c r="M258" s="209"/>
      <c r="N258" s="209"/>
      <c r="O258" s="210"/>
      <c r="P258" s="214"/>
      <c r="Q258" s="214"/>
      <c r="R258" s="215"/>
      <c r="S258" s="216"/>
      <c r="T258" s="209"/>
      <c r="U258" s="210"/>
      <c r="V258" s="217">
        <v>5</v>
      </c>
      <c r="W258" s="209"/>
      <c r="X258" s="209"/>
      <c r="Y258" s="209"/>
      <c r="Z258" s="209"/>
      <c r="AA258" s="209"/>
      <c r="AB258" s="209"/>
      <c r="AC258" s="209"/>
      <c r="AD258" s="210"/>
      <c r="AE258" s="214"/>
      <c r="AF258" s="214"/>
      <c r="AG258" s="102" t="s">
        <v>67</v>
      </c>
      <c r="AH258" s="70"/>
      <c r="AI258" s="70"/>
      <c r="AJ258" s="70"/>
      <c r="AK258" s="70"/>
      <c r="AL258" s="70"/>
      <c r="AM258" s="70"/>
      <c r="AN258" s="70"/>
      <c r="AO258" s="70" t="s">
        <v>68</v>
      </c>
      <c r="AP258" s="70"/>
      <c r="AQ258" s="79"/>
      <c r="AU258" s="53"/>
      <c r="AV258" s="53"/>
      <c r="AW258" s="53"/>
    </row>
    <row r="259" spans="2:49" ht="13.5" customHeight="1" x14ac:dyDescent="0.2">
      <c r="B259" s="74"/>
      <c r="C259" s="74"/>
      <c r="D259" s="216"/>
      <c r="E259" s="209"/>
      <c r="F259" s="210"/>
      <c r="G259" s="217">
        <v>6</v>
      </c>
      <c r="H259" s="209"/>
      <c r="I259" s="209"/>
      <c r="J259" s="209"/>
      <c r="K259" s="209"/>
      <c r="L259" s="209"/>
      <c r="M259" s="209"/>
      <c r="N259" s="209"/>
      <c r="O259" s="210"/>
      <c r="P259" s="214"/>
      <c r="Q259" s="214"/>
      <c r="R259" s="215"/>
      <c r="S259" s="216"/>
      <c r="T259" s="209"/>
      <c r="U259" s="210"/>
      <c r="V259" s="217">
        <v>6</v>
      </c>
      <c r="W259" s="209"/>
      <c r="X259" s="209"/>
      <c r="Y259" s="209"/>
      <c r="Z259" s="209"/>
      <c r="AA259" s="209"/>
      <c r="AB259" s="209"/>
      <c r="AC259" s="209"/>
      <c r="AD259" s="210"/>
      <c r="AE259" s="214"/>
      <c r="AF259" s="214"/>
      <c r="AG259" s="103"/>
      <c r="AH259" s="67"/>
      <c r="AI259" s="67"/>
      <c r="AJ259" s="67"/>
      <c r="AK259" s="67"/>
      <c r="AL259" s="67"/>
      <c r="AM259" s="67"/>
      <c r="AN259" s="67"/>
      <c r="AO259" s="67"/>
      <c r="AP259" s="67"/>
      <c r="AQ259" s="81"/>
      <c r="AU259" s="53"/>
      <c r="AV259" s="53"/>
      <c r="AW259" s="53"/>
    </row>
    <row r="260" spans="2:49" ht="13.5" customHeight="1" thickBot="1" x14ac:dyDescent="0.25">
      <c r="B260" s="74"/>
      <c r="C260" s="74"/>
      <c r="D260" s="216"/>
      <c r="E260" s="209"/>
      <c r="F260" s="210"/>
      <c r="G260" s="217">
        <v>7</v>
      </c>
      <c r="H260" s="209"/>
      <c r="I260" s="209"/>
      <c r="J260" s="209"/>
      <c r="K260" s="209"/>
      <c r="L260" s="209"/>
      <c r="M260" s="209"/>
      <c r="N260" s="209"/>
      <c r="O260" s="210"/>
      <c r="P260" s="214"/>
      <c r="Q260" s="214"/>
      <c r="R260" s="215"/>
      <c r="S260" s="216"/>
      <c r="T260" s="209"/>
      <c r="U260" s="210"/>
      <c r="V260" s="217">
        <v>7</v>
      </c>
      <c r="W260" s="209"/>
      <c r="X260" s="209"/>
      <c r="Y260" s="209"/>
      <c r="Z260" s="209"/>
      <c r="AA260" s="209"/>
      <c r="AB260" s="209"/>
      <c r="AC260" s="209"/>
      <c r="AD260" s="210"/>
      <c r="AE260" s="214"/>
      <c r="AF260" s="214"/>
      <c r="AG260" s="74" t="s">
        <v>69</v>
      </c>
      <c r="AH260" s="67"/>
      <c r="AI260" s="67"/>
      <c r="AJ260" s="67"/>
      <c r="AK260" s="67"/>
      <c r="AL260" s="67"/>
      <c r="AM260" s="67"/>
      <c r="AN260" s="67"/>
      <c r="AO260" s="67"/>
      <c r="AP260" s="67"/>
      <c r="AQ260" s="81"/>
      <c r="AU260" s="53"/>
      <c r="AV260" s="53"/>
      <c r="AW260" s="53"/>
    </row>
    <row r="261" spans="2:49" ht="13.5" customHeight="1" thickBot="1" x14ac:dyDescent="0.25">
      <c r="B261" s="74"/>
      <c r="C261" s="74"/>
      <c r="D261" s="222"/>
      <c r="E261" s="218"/>
      <c r="F261" s="219"/>
      <c r="G261" s="220">
        <v>8</v>
      </c>
      <c r="H261" s="218"/>
      <c r="I261" s="218"/>
      <c r="J261" s="218"/>
      <c r="K261" s="218"/>
      <c r="L261" s="218"/>
      <c r="M261" s="218"/>
      <c r="N261" s="218"/>
      <c r="O261" s="219"/>
      <c r="P261" s="221"/>
      <c r="Q261" s="221"/>
      <c r="R261" s="215"/>
      <c r="S261" s="222"/>
      <c r="T261" s="218"/>
      <c r="U261" s="219"/>
      <c r="V261" s="220">
        <v>8</v>
      </c>
      <c r="W261" s="218"/>
      <c r="X261" s="218"/>
      <c r="Y261" s="218"/>
      <c r="Z261" s="218"/>
      <c r="AA261" s="218"/>
      <c r="AB261" s="218"/>
      <c r="AC261" s="218"/>
      <c r="AD261" s="219"/>
      <c r="AE261" s="221"/>
      <c r="AF261" s="221"/>
      <c r="AG261" s="104" t="s">
        <v>70</v>
      </c>
      <c r="AH261" s="70"/>
      <c r="AI261" s="70"/>
      <c r="AJ261" s="70"/>
      <c r="AK261" s="70"/>
      <c r="AL261" s="70"/>
      <c r="AM261" s="70"/>
      <c r="AN261" s="70"/>
      <c r="AO261" s="70"/>
      <c r="AP261" s="70"/>
      <c r="AQ261" s="79"/>
      <c r="AU261" s="53"/>
      <c r="AV261" s="53"/>
      <c r="AW261" s="53"/>
    </row>
    <row r="262" spans="2:49" ht="13.5" customHeight="1" thickBot="1" x14ac:dyDescent="0.25">
      <c r="B262" s="74"/>
      <c r="C262" s="74"/>
      <c r="D262" s="89"/>
      <c r="E262" s="105"/>
      <c r="F262" s="105"/>
      <c r="G262" s="105"/>
      <c r="H262" s="105"/>
      <c r="I262" s="105"/>
      <c r="J262" s="106" t="s">
        <v>71</v>
      </c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7"/>
      <c r="AG262" s="84" t="s">
        <v>72</v>
      </c>
      <c r="AH262" s="67"/>
      <c r="AI262" s="67"/>
      <c r="AJ262" s="67"/>
      <c r="AK262" s="67"/>
      <c r="AL262" s="67"/>
      <c r="AM262" s="67"/>
      <c r="AN262" s="67"/>
      <c r="AO262" s="67"/>
      <c r="AP262" s="67"/>
      <c r="AQ262" s="81"/>
      <c r="AU262" s="53"/>
      <c r="AV262" s="53"/>
      <c r="AW262" s="53"/>
    </row>
    <row r="263" spans="2:49" ht="13.5" customHeight="1" thickBot="1" x14ac:dyDescent="0.25">
      <c r="B263" s="74"/>
      <c r="C263" s="74"/>
      <c r="D263" s="108" t="s">
        <v>73</v>
      </c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7"/>
      <c r="S263" s="108" t="s">
        <v>74</v>
      </c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7"/>
      <c r="AG263" s="109" t="s">
        <v>75</v>
      </c>
      <c r="AH263" s="110"/>
      <c r="AI263" s="110"/>
      <c r="AJ263" s="110"/>
      <c r="AK263" s="110"/>
      <c r="AL263" s="87"/>
      <c r="AM263" s="111" t="s">
        <v>76</v>
      </c>
      <c r="AN263" s="110"/>
      <c r="AO263" s="110"/>
      <c r="AP263" s="110"/>
      <c r="AQ263" s="87"/>
      <c r="AU263" s="53"/>
      <c r="AV263" s="53"/>
      <c r="AW263" s="53"/>
    </row>
    <row r="264" spans="2:49" ht="17.25" customHeight="1" thickBot="1" x14ac:dyDescent="0.25">
      <c r="B264" s="72"/>
      <c r="C264" s="72"/>
      <c r="D264" s="108" t="s">
        <v>77</v>
      </c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7"/>
      <c r="S264" s="108" t="s">
        <v>6</v>
      </c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7"/>
      <c r="AG264" s="112" t="s">
        <v>78</v>
      </c>
      <c r="AH264" s="73"/>
      <c r="AI264" s="73"/>
      <c r="AJ264" s="73"/>
      <c r="AK264" s="73"/>
      <c r="AL264" s="87"/>
      <c r="AM264" s="113" t="s">
        <v>79</v>
      </c>
      <c r="AN264" s="73"/>
      <c r="AO264" s="73"/>
      <c r="AP264" s="73"/>
      <c r="AQ264" s="87"/>
      <c r="AU264" s="53"/>
      <c r="AV264" s="53"/>
      <c r="AW264" s="53"/>
    </row>
    <row r="265" spans="2:49" ht="13.5" thickBot="1" x14ac:dyDescent="0.25">
      <c r="AU265" s="53"/>
      <c r="AV265" s="53"/>
      <c r="AW265" s="53"/>
    </row>
    <row r="266" spans="2:49" ht="17.25" customHeight="1" x14ac:dyDescent="0.25">
      <c r="B266" s="68"/>
      <c r="C266" s="68"/>
      <c r="D266" s="69" t="s">
        <v>44</v>
      </c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1" t="s">
        <v>89</v>
      </c>
      <c r="Z266" s="70"/>
      <c r="AA266" s="70"/>
      <c r="AB266" s="70"/>
      <c r="AC266" s="70"/>
      <c r="AD266" s="70"/>
      <c r="AE266" s="70"/>
      <c r="AF266" s="70"/>
      <c r="AG266" s="70"/>
      <c r="AH266" s="441" t="s">
        <v>45</v>
      </c>
      <c r="AI266" s="442"/>
      <c r="AJ266" s="442"/>
      <c r="AK266" s="442"/>
      <c r="AL266" s="442"/>
      <c r="AM266" s="443">
        <f>IF(($AU$9+8)&gt;$AX$9,"",VLOOKUP($AU$9+8,Spielplan,3,0))</f>
        <v>0.12152777777777776</v>
      </c>
      <c r="AN266" s="443"/>
      <c r="AO266" s="443"/>
      <c r="AP266" s="443"/>
      <c r="AQ266" s="444"/>
      <c r="AU266" s="53"/>
      <c r="AV266" s="53"/>
      <c r="AW266" s="53"/>
    </row>
    <row r="267" spans="2:49" ht="0.75" customHeight="1" thickBot="1" x14ac:dyDescent="0.25">
      <c r="B267" s="72"/>
      <c r="C267" s="72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4"/>
      <c r="AI267" s="67"/>
      <c r="AJ267" s="67"/>
      <c r="AK267" s="67"/>
      <c r="AL267" s="67"/>
      <c r="AM267" s="75"/>
      <c r="AN267" s="75"/>
      <c r="AO267" s="75"/>
      <c r="AP267" s="75"/>
      <c r="AQ267" s="76"/>
      <c r="AU267" s="53"/>
      <c r="AV267" s="53"/>
      <c r="AW267" s="53"/>
    </row>
    <row r="268" spans="2:49" ht="15" x14ac:dyDescent="0.25">
      <c r="B268" s="68"/>
      <c r="C268" s="77"/>
      <c r="D268" s="68"/>
      <c r="E268" s="78" t="s">
        <v>6</v>
      </c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9"/>
      <c r="S268" s="439" t="s">
        <v>46</v>
      </c>
      <c r="T268" s="440"/>
      <c r="U268" s="440"/>
      <c r="V268" s="440"/>
      <c r="W268" s="440"/>
      <c r="X268" s="440"/>
      <c r="Y268" s="366" t="str">
        <f>IF(($AU$9+8)&gt;$AX$9,"","SHTV")</f>
        <v>SHTV</v>
      </c>
      <c r="Z268" s="366"/>
      <c r="AA268" s="366"/>
      <c r="AB268" s="366"/>
      <c r="AC268" s="366"/>
      <c r="AD268" s="366"/>
      <c r="AE268" s="366"/>
      <c r="AF268" s="366"/>
      <c r="AG268" s="366"/>
      <c r="AH268" s="430" t="s">
        <v>47</v>
      </c>
      <c r="AI268" s="431"/>
      <c r="AJ268" s="431"/>
      <c r="AK268" s="431"/>
      <c r="AL268" s="431"/>
      <c r="AM268" s="434">
        <f>IF(($AU$9+8)&gt;$AX$9,"",VLOOKUP($AU$9+8,Spielplan,4,0))</f>
        <v>6</v>
      </c>
      <c r="AN268" s="435"/>
      <c r="AO268" s="435"/>
      <c r="AP268" s="435"/>
      <c r="AQ268" s="436"/>
      <c r="AU268" s="53"/>
      <c r="AV268" s="53"/>
      <c r="AW268" s="53"/>
    </row>
    <row r="269" spans="2:49" ht="9.9499999999999993" customHeight="1" x14ac:dyDescent="0.2">
      <c r="B269" s="74"/>
      <c r="C269" s="80"/>
      <c r="D269" s="74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81"/>
      <c r="S269" s="423"/>
      <c r="T269" s="406"/>
      <c r="U269" s="406"/>
      <c r="V269" s="406"/>
      <c r="W269" s="406"/>
      <c r="X269" s="406"/>
      <c r="Y269" s="425"/>
      <c r="Z269" s="425"/>
      <c r="AA269" s="425"/>
      <c r="AB269" s="425"/>
      <c r="AC269" s="425"/>
      <c r="AD269" s="425"/>
      <c r="AE269" s="425"/>
      <c r="AF269" s="425"/>
      <c r="AG269" s="425"/>
      <c r="AH269" s="432"/>
      <c r="AI269" s="433"/>
      <c r="AJ269" s="433"/>
      <c r="AK269" s="433"/>
      <c r="AL269" s="433"/>
      <c r="AM269" s="437"/>
      <c r="AN269" s="437"/>
      <c r="AO269" s="437"/>
      <c r="AP269" s="437"/>
      <c r="AQ269" s="438"/>
      <c r="AU269" s="53"/>
      <c r="AV269" s="53"/>
      <c r="AW269" s="53"/>
    </row>
    <row r="270" spans="2:49" ht="13.15" customHeight="1" x14ac:dyDescent="0.2">
      <c r="B270" s="74"/>
      <c r="C270" s="80"/>
      <c r="D270" s="74"/>
      <c r="E270" s="67" t="s">
        <v>48</v>
      </c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81"/>
      <c r="S270" s="422" t="s">
        <v>49</v>
      </c>
      <c r="T270" s="406"/>
      <c r="U270" s="406"/>
      <c r="V270" s="406"/>
      <c r="W270" s="406"/>
      <c r="X270" s="406"/>
      <c r="Y270" s="425">
        <f>IF(($AU$9+8)&gt;$AX$9,"",Platzierung!$U$3)</f>
        <v>0</v>
      </c>
      <c r="Z270" s="425"/>
      <c r="AA270" s="425"/>
      <c r="AB270" s="425"/>
      <c r="AC270" s="425"/>
      <c r="AD270" s="425"/>
      <c r="AE270" s="425"/>
      <c r="AF270" s="425"/>
      <c r="AG270" s="425"/>
      <c r="AH270" s="430" t="s">
        <v>50</v>
      </c>
      <c r="AI270" s="431"/>
      <c r="AJ270" s="431"/>
      <c r="AK270" s="431"/>
      <c r="AL270" s="431"/>
      <c r="AM270" s="434">
        <f>IF(($AU$9+8)&gt;$AX$9,"",VLOOKUP($AU$9+8,Spielplan,6,0))</f>
        <v>9</v>
      </c>
      <c r="AN270" s="435"/>
      <c r="AO270" s="435"/>
      <c r="AP270" s="435"/>
      <c r="AQ270" s="436"/>
      <c r="AU270" s="53"/>
      <c r="AV270" s="53"/>
      <c r="AW270" s="53"/>
    </row>
    <row r="271" spans="2:49" ht="9.9499999999999993" customHeight="1" x14ac:dyDescent="0.2">
      <c r="B271" s="74"/>
      <c r="C271" s="80"/>
      <c r="D271" s="74"/>
      <c r="E271" s="67"/>
      <c r="F271" s="67"/>
      <c r="G271" s="67"/>
      <c r="H271" s="67"/>
      <c r="I271" s="67"/>
      <c r="J271" s="82" t="s">
        <v>51</v>
      </c>
      <c r="K271" s="67"/>
      <c r="L271" s="67"/>
      <c r="M271" s="67"/>
      <c r="N271" s="67"/>
      <c r="O271" s="67"/>
      <c r="P271" s="67"/>
      <c r="Q271" s="67"/>
      <c r="R271" s="81"/>
      <c r="S271" s="423"/>
      <c r="T271" s="406"/>
      <c r="U271" s="406"/>
      <c r="V271" s="406"/>
      <c r="W271" s="406"/>
      <c r="X271" s="406"/>
      <c r="Y271" s="425"/>
      <c r="Z271" s="425"/>
      <c r="AA271" s="425"/>
      <c r="AB271" s="425"/>
      <c r="AC271" s="425"/>
      <c r="AD271" s="425"/>
      <c r="AE271" s="425"/>
      <c r="AF271" s="425"/>
      <c r="AG271" s="425"/>
      <c r="AH271" s="432"/>
      <c r="AI271" s="433"/>
      <c r="AJ271" s="433"/>
      <c r="AK271" s="433"/>
      <c r="AL271" s="433"/>
      <c r="AM271" s="437"/>
      <c r="AN271" s="437"/>
      <c r="AO271" s="437"/>
      <c r="AP271" s="437"/>
      <c r="AQ271" s="438"/>
      <c r="AU271" s="53"/>
      <c r="AV271" s="53"/>
      <c r="AW271" s="53"/>
    </row>
    <row r="272" spans="2:49" ht="15.75" customHeight="1" x14ac:dyDescent="0.2">
      <c r="B272" s="74"/>
      <c r="C272" s="80"/>
      <c r="D272" s="418">
        <f>IF(($AU$9+8)&gt;$AX$9,"",VLOOKUP($AU$9+8,Spielplan,10,0))</f>
        <v>0</v>
      </c>
      <c r="E272" s="419"/>
      <c r="F272" s="419"/>
      <c r="G272" s="419"/>
      <c r="H272" s="419"/>
      <c r="I272" s="419"/>
      <c r="J272" s="419"/>
      <c r="K272" s="419"/>
      <c r="L272" s="419"/>
      <c r="M272" s="419"/>
      <c r="N272" s="419"/>
      <c r="O272" s="419"/>
      <c r="P272" s="419"/>
      <c r="Q272" s="419"/>
      <c r="R272" s="420"/>
      <c r="S272" s="422" t="s">
        <v>52</v>
      </c>
      <c r="T272" s="406"/>
      <c r="U272" s="406"/>
      <c r="V272" s="406"/>
      <c r="W272" s="406"/>
      <c r="X272" s="406"/>
      <c r="Y272" s="424">
        <f>IF(($AU$9+8)&gt;$AX$9,"",VLOOKUP($AU$9+8,Spielplan,2,0))</f>
        <v>0</v>
      </c>
      <c r="Z272" s="425"/>
      <c r="AA272" s="425"/>
      <c r="AB272" s="425"/>
      <c r="AC272" s="425"/>
      <c r="AD272" s="425"/>
      <c r="AE272" s="425"/>
      <c r="AF272" s="425"/>
      <c r="AG272" s="425"/>
      <c r="AH272" s="405" t="s">
        <v>53</v>
      </c>
      <c r="AI272" s="406"/>
      <c r="AJ272" s="406"/>
      <c r="AK272" s="406"/>
      <c r="AL272" s="406"/>
      <c r="AM272" s="400">
        <f>IF(($AU$9+8)&gt;$AX$9,"",VLOOKUP($AU$9+8,Spielplan,5,0))</f>
        <v>1</v>
      </c>
      <c r="AN272" s="401"/>
      <c r="AO272" s="401"/>
      <c r="AP272" s="401"/>
      <c r="AQ272" s="402"/>
      <c r="AU272" s="53"/>
      <c r="AV272" s="53"/>
      <c r="AW272" s="53"/>
    </row>
    <row r="273" spans="2:49" ht="11.1" customHeight="1" thickBot="1" x14ac:dyDescent="0.25">
      <c r="B273" s="74"/>
      <c r="C273" s="80"/>
      <c r="D273" s="421"/>
      <c r="E273" s="419"/>
      <c r="F273" s="419"/>
      <c r="G273" s="419"/>
      <c r="H273" s="419"/>
      <c r="I273" s="419"/>
      <c r="J273" s="419"/>
      <c r="K273" s="419"/>
      <c r="L273" s="419"/>
      <c r="M273" s="419"/>
      <c r="N273" s="419"/>
      <c r="O273" s="419"/>
      <c r="P273" s="419"/>
      <c r="Q273" s="419"/>
      <c r="R273" s="420"/>
      <c r="S273" s="423"/>
      <c r="T273" s="406"/>
      <c r="U273" s="406"/>
      <c r="V273" s="406"/>
      <c r="W273" s="406"/>
      <c r="X273" s="406"/>
      <c r="Y273" s="425"/>
      <c r="Z273" s="425"/>
      <c r="AA273" s="425"/>
      <c r="AB273" s="425"/>
      <c r="AC273" s="425"/>
      <c r="AD273" s="425"/>
      <c r="AE273" s="425"/>
      <c r="AF273" s="425"/>
      <c r="AG273" s="425"/>
      <c r="AH273" s="407"/>
      <c r="AI273" s="408"/>
      <c r="AJ273" s="408"/>
      <c r="AK273" s="408"/>
      <c r="AL273" s="408"/>
      <c r="AM273" s="403"/>
      <c r="AN273" s="403"/>
      <c r="AO273" s="403"/>
      <c r="AP273" s="403"/>
      <c r="AQ273" s="404"/>
      <c r="AU273" s="53"/>
      <c r="AV273" s="53"/>
      <c r="AW273" s="53"/>
    </row>
    <row r="274" spans="2:49" ht="11.1" customHeight="1" thickBot="1" x14ac:dyDescent="0.25">
      <c r="B274" s="74"/>
      <c r="C274" s="80"/>
      <c r="D274" s="72"/>
      <c r="E274" s="73"/>
      <c r="F274" s="73"/>
      <c r="G274" s="73"/>
      <c r="H274" s="73"/>
      <c r="I274" s="73"/>
      <c r="J274" s="73" t="s">
        <v>54</v>
      </c>
      <c r="K274" s="73"/>
      <c r="L274" s="73"/>
      <c r="M274" s="73"/>
      <c r="N274" s="73"/>
      <c r="O274" s="67"/>
      <c r="P274" s="67"/>
      <c r="Q274" s="73"/>
      <c r="R274" s="83"/>
      <c r="S274" s="74"/>
      <c r="T274" s="67"/>
      <c r="U274" s="67"/>
      <c r="V274" s="67"/>
      <c r="W274" s="67"/>
      <c r="X274" s="67"/>
      <c r="Y274" s="409"/>
      <c r="Z274" s="409"/>
      <c r="AA274" s="409"/>
      <c r="AB274" s="409"/>
      <c r="AC274" s="409"/>
      <c r="AD274" s="409"/>
      <c r="AE274" s="409"/>
      <c r="AF274" s="410"/>
      <c r="AG274" s="411"/>
      <c r="AH274" s="84" t="s">
        <v>55</v>
      </c>
      <c r="AI274" s="67"/>
      <c r="AJ274" s="67"/>
      <c r="AK274" s="67"/>
      <c r="AL274" s="67"/>
      <c r="AM274" s="67"/>
      <c r="AN274" s="67"/>
      <c r="AO274" s="85"/>
      <c r="AP274" s="67"/>
      <c r="AQ274" s="81"/>
      <c r="AU274" s="53"/>
      <c r="AV274" s="53"/>
      <c r="AW274" s="53"/>
    </row>
    <row r="275" spans="2:49" ht="13.5" customHeight="1" thickBot="1" x14ac:dyDescent="0.3">
      <c r="B275" s="74"/>
      <c r="C275" s="80"/>
      <c r="D275" s="68"/>
      <c r="E275" s="78" t="s">
        <v>8</v>
      </c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412" t="s">
        <v>56</v>
      </c>
      <c r="R275" s="68"/>
      <c r="S275" s="68"/>
      <c r="T275" s="78" t="s">
        <v>7</v>
      </c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9"/>
      <c r="AF275" s="415" t="s">
        <v>56</v>
      </c>
      <c r="AG275" s="74"/>
      <c r="AH275" s="86" t="s">
        <v>57</v>
      </c>
      <c r="AI275" s="73"/>
      <c r="AJ275" s="73"/>
      <c r="AK275" s="73"/>
      <c r="AL275" s="73"/>
      <c r="AM275" s="73"/>
      <c r="AN275" s="73"/>
      <c r="AO275" s="87"/>
      <c r="AP275" s="67"/>
      <c r="AQ275" s="81"/>
      <c r="AU275" s="53"/>
      <c r="AV275" s="53"/>
      <c r="AW275" s="53"/>
    </row>
    <row r="276" spans="2:49" ht="12" customHeight="1" thickBot="1" x14ac:dyDescent="0.25">
      <c r="B276" s="74"/>
      <c r="C276" s="80"/>
      <c r="D276" s="418">
        <f>IF(($AU$9+8)&gt;$AX$9,"",VLOOKUP($AU$9+8,Spielplan,7,0))</f>
        <v>0</v>
      </c>
      <c r="E276" s="419"/>
      <c r="F276" s="419"/>
      <c r="G276" s="419"/>
      <c r="H276" s="419"/>
      <c r="I276" s="419"/>
      <c r="J276" s="419"/>
      <c r="K276" s="419"/>
      <c r="L276" s="419"/>
      <c r="M276" s="419"/>
      <c r="N276" s="419"/>
      <c r="O276" s="419"/>
      <c r="P276" s="420"/>
      <c r="Q276" s="413"/>
      <c r="R276" s="74"/>
      <c r="S276" s="418">
        <f>IF(($AU$9+8)&gt;$AX$9,"",VLOOKUP($AU$9+8,Spielplan,9,0))</f>
        <v>0</v>
      </c>
      <c r="T276" s="419"/>
      <c r="U276" s="419"/>
      <c r="V276" s="419"/>
      <c r="W276" s="419"/>
      <c r="X276" s="419"/>
      <c r="Y276" s="419"/>
      <c r="Z276" s="419"/>
      <c r="AA276" s="419"/>
      <c r="AB276" s="419"/>
      <c r="AC276" s="419"/>
      <c r="AD276" s="419"/>
      <c r="AE276" s="429"/>
      <c r="AF276" s="416"/>
      <c r="AG276" s="74"/>
      <c r="AH276" s="394" t="s">
        <v>58</v>
      </c>
      <c r="AI276" s="395"/>
      <c r="AJ276" s="395"/>
      <c r="AK276" s="395"/>
      <c r="AL276" s="395"/>
      <c r="AM276" s="396"/>
      <c r="AN276" s="88" t="s">
        <v>59</v>
      </c>
      <c r="AO276" s="89"/>
      <c r="AP276" s="89"/>
      <c r="AQ276" s="87"/>
      <c r="AU276" s="53"/>
      <c r="AV276" s="53"/>
      <c r="AW276" s="53"/>
    </row>
    <row r="277" spans="2:49" ht="12" customHeight="1" thickBot="1" x14ac:dyDescent="0.25">
      <c r="B277" s="72"/>
      <c r="C277" s="85"/>
      <c r="D277" s="426"/>
      <c r="E277" s="427"/>
      <c r="F277" s="427"/>
      <c r="G277" s="427"/>
      <c r="H277" s="427"/>
      <c r="I277" s="427"/>
      <c r="J277" s="427"/>
      <c r="K277" s="427"/>
      <c r="L277" s="427"/>
      <c r="M277" s="427"/>
      <c r="N277" s="427"/>
      <c r="O277" s="427"/>
      <c r="P277" s="428"/>
      <c r="Q277" s="414"/>
      <c r="R277" s="72"/>
      <c r="S277" s="426"/>
      <c r="T277" s="427"/>
      <c r="U277" s="427"/>
      <c r="V277" s="427"/>
      <c r="W277" s="427"/>
      <c r="X277" s="427"/>
      <c r="Y277" s="427"/>
      <c r="Z277" s="427"/>
      <c r="AA277" s="427"/>
      <c r="AB277" s="427"/>
      <c r="AC277" s="427"/>
      <c r="AD277" s="427"/>
      <c r="AE277" s="389"/>
      <c r="AF277" s="417"/>
      <c r="AG277" s="72"/>
      <c r="AH277" s="397"/>
      <c r="AI277" s="398"/>
      <c r="AJ277" s="398"/>
      <c r="AK277" s="398"/>
      <c r="AL277" s="398"/>
      <c r="AM277" s="399"/>
      <c r="AN277" s="88" t="s">
        <v>60</v>
      </c>
      <c r="AO277" s="89"/>
      <c r="AP277" s="89"/>
      <c r="AQ277" s="87"/>
      <c r="AU277" s="53"/>
      <c r="AV277" s="53"/>
      <c r="AW277" s="53"/>
    </row>
    <row r="278" spans="2:49" ht="9.9499999999999993" customHeight="1" thickBot="1" x14ac:dyDescent="0.25">
      <c r="B278" s="74"/>
      <c r="C278" s="7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81"/>
      <c r="AU278" s="53"/>
      <c r="AV278" s="53"/>
      <c r="AW278" s="53"/>
    </row>
    <row r="279" spans="2:49" x14ac:dyDescent="0.2">
      <c r="B279" s="68"/>
      <c r="C279" s="77" t="s">
        <v>59</v>
      </c>
      <c r="D279" s="90"/>
      <c r="E279" s="91"/>
      <c r="F279" s="91"/>
      <c r="G279" s="91"/>
      <c r="H279" s="92"/>
      <c r="I279" s="90"/>
      <c r="J279" s="91"/>
      <c r="K279" s="91"/>
      <c r="L279" s="91"/>
      <c r="M279" s="92"/>
      <c r="N279" s="90"/>
      <c r="O279" s="91"/>
      <c r="P279" s="91"/>
      <c r="Q279" s="91"/>
      <c r="R279" s="92"/>
      <c r="S279" s="90"/>
      <c r="T279" s="91"/>
      <c r="U279" s="91"/>
      <c r="V279" s="91"/>
      <c r="W279" s="92"/>
      <c r="X279" s="90"/>
      <c r="Y279" s="91"/>
      <c r="Z279" s="91"/>
      <c r="AA279" s="91"/>
      <c r="AB279" s="92"/>
      <c r="AC279" s="90"/>
      <c r="AD279" s="91"/>
      <c r="AE279" s="91"/>
      <c r="AF279" s="91"/>
      <c r="AG279" s="92"/>
      <c r="AH279" s="90"/>
      <c r="AI279" s="91"/>
      <c r="AJ279" s="91"/>
      <c r="AK279" s="91"/>
      <c r="AL279" s="91"/>
      <c r="AM279" s="206" t="s">
        <v>59</v>
      </c>
      <c r="AN279" s="392"/>
      <c r="AO279" s="392"/>
      <c r="AP279" s="392"/>
      <c r="AQ279" s="393"/>
      <c r="AU279" s="53"/>
      <c r="AV279" s="53"/>
      <c r="AW279" s="53"/>
    </row>
    <row r="280" spans="2:49" ht="13.5" thickBot="1" x14ac:dyDescent="0.25">
      <c r="B280" s="72"/>
      <c r="C280" s="85" t="s">
        <v>60</v>
      </c>
      <c r="D280" s="72"/>
      <c r="E280" s="93"/>
      <c r="F280" s="93"/>
      <c r="G280" s="93"/>
      <c r="H280" s="94"/>
      <c r="I280" s="72"/>
      <c r="J280" s="93"/>
      <c r="K280" s="93"/>
      <c r="L280" s="93"/>
      <c r="M280" s="94"/>
      <c r="N280" s="72"/>
      <c r="O280" s="93"/>
      <c r="P280" s="93"/>
      <c r="Q280" s="93"/>
      <c r="R280" s="94"/>
      <c r="S280" s="72"/>
      <c r="T280" s="93"/>
      <c r="U280" s="93"/>
      <c r="V280" s="93"/>
      <c r="W280" s="94"/>
      <c r="X280" s="72"/>
      <c r="Y280" s="93"/>
      <c r="Z280" s="93"/>
      <c r="AA280" s="93"/>
      <c r="AB280" s="94"/>
      <c r="AC280" s="72"/>
      <c r="AD280" s="93"/>
      <c r="AE280" s="93"/>
      <c r="AF280" s="93"/>
      <c r="AG280" s="94"/>
      <c r="AH280" s="72"/>
      <c r="AI280" s="93"/>
      <c r="AJ280" s="93"/>
      <c r="AK280" s="93"/>
      <c r="AL280" s="93"/>
      <c r="AM280" s="208" t="s">
        <v>60</v>
      </c>
      <c r="AN280" s="326"/>
      <c r="AO280" s="326"/>
      <c r="AP280" s="326"/>
      <c r="AQ280" s="327"/>
      <c r="AU280" s="53"/>
      <c r="AV280" s="53"/>
      <c r="AW280" s="53"/>
    </row>
    <row r="281" spans="2:49" x14ac:dyDescent="0.2">
      <c r="B281" s="68"/>
      <c r="C281" s="77" t="s">
        <v>59</v>
      </c>
      <c r="D281" s="90"/>
      <c r="E281" s="91"/>
      <c r="F281" s="91"/>
      <c r="G281" s="91"/>
      <c r="H281" s="92"/>
      <c r="I281" s="90"/>
      <c r="J281" s="91"/>
      <c r="K281" s="91"/>
      <c r="L281" s="91"/>
      <c r="M281" s="92"/>
      <c r="N281" s="90"/>
      <c r="O281" s="91"/>
      <c r="P281" s="91"/>
      <c r="Q281" s="91"/>
      <c r="R281" s="92"/>
      <c r="S281" s="90"/>
      <c r="T281" s="91"/>
      <c r="U281" s="91"/>
      <c r="V281" s="91"/>
      <c r="W281" s="92"/>
      <c r="X281" s="90"/>
      <c r="Y281" s="91"/>
      <c r="Z281" s="91"/>
      <c r="AA281" s="91"/>
      <c r="AB281" s="92"/>
      <c r="AC281" s="90"/>
      <c r="AD281" s="91"/>
      <c r="AE281" s="91"/>
      <c r="AF281" s="91"/>
      <c r="AG281" s="92"/>
      <c r="AH281" s="90"/>
      <c r="AI281" s="91"/>
      <c r="AJ281" s="91"/>
      <c r="AK281" s="91"/>
      <c r="AL281" s="91"/>
      <c r="AM281" s="206" t="s">
        <v>59</v>
      </c>
      <c r="AN281" s="392"/>
      <c r="AO281" s="392"/>
      <c r="AP281" s="392"/>
      <c r="AQ281" s="393"/>
      <c r="AU281" s="53"/>
      <c r="AV281" s="53"/>
      <c r="AW281" s="53"/>
    </row>
    <row r="282" spans="2:49" ht="13.5" thickBot="1" x14ac:dyDescent="0.25">
      <c r="B282" s="72"/>
      <c r="C282" s="85" t="s">
        <v>60</v>
      </c>
      <c r="D282" s="72"/>
      <c r="E282" s="93"/>
      <c r="F282" s="93"/>
      <c r="G282" s="93"/>
      <c r="H282" s="94"/>
      <c r="I282" s="72"/>
      <c r="J282" s="93"/>
      <c r="K282" s="93"/>
      <c r="L282" s="93"/>
      <c r="M282" s="94"/>
      <c r="N282" s="72"/>
      <c r="O282" s="93"/>
      <c r="P282" s="93"/>
      <c r="Q282" s="93"/>
      <c r="R282" s="94"/>
      <c r="S282" s="72"/>
      <c r="T282" s="93"/>
      <c r="U282" s="93"/>
      <c r="V282" s="93"/>
      <c r="W282" s="94"/>
      <c r="X282" s="72"/>
      <c r="Y282" s="93"/>
      <c r="Z282" s="93"/>
      <c r="AA282" s="93"/>
      <c r="AB282" s="94"/>
      <c r="AC282" s="72"/>
      <c r="AD282" s="93"/>
      <c r="AE282" s="93"/>
      <c r="AF282" s="93"/>
      <c r="AG282" s="94"/>
      <c r="AH282" s="72"/>
      <c r="AI282" s="93"/>
      <c r="AJ282" s="93"/>
      <c r="AK282" s="93"/>
      <c r="AL282" s="93"/>
      <c r="AM282" s="207" t="s">
        <v>60</v>
      </c>
      <c r="AN282" s="347"/>
      <c r="AO282" s="347"/>
      <c r="AP282" s="347"/>
      <c r="AQ282" s="348"/>
      <c r="AU282" s="53"/>
      <c r="AV282" s="53"/>
      <c r="AW282" s="53"/>
    </row>
    <row r="283" spans="2:49" x14ac:dyDescent="0.2">
      <c r="B283" s="68"/>
      <c r="C283" s="77" t="s">
        <v>59</v>
      </c>
      <c r="D283" s="90"/>
      <c r="E283" s="91"/>
      <c r="F283" s="91"/>
      <c r="G283" s="91"/>
      <c r="H283" s="92"/>
      <c r="I283" s="90"/>
      <c r="J283" s="91"/>
      <c r="K283" s="91"/>
      <c r="L283" s="91"/>
      <c r="M283" s="92"/>
      <c r="N283" s="90"/>
      <c r="O283" s="91"/>
      <c r="P283" s="91"/>
      <c r="Q283" s="91"/>
      <c r="R283" s="92"/>
      <c r="S283" s="90"/>
      <c r="T283" s="91"/>
      <c r="U283" s="91"/>
      <c r="V283" s="91"/>
      <c r="W283" s="92"/>
      <c r="X283" s="90"/>
      <c r="Y283" s="91"/>
      <c r="Z283" s="91"/>
      <c r="AA283" s="91"/>
      <c r="AB283" s="92"/>
      <c r="AC283" s="90"/>
      <c r="AD283" s="91"/>
      <c r="AE283" s="91"/>
      <c r="AF283" s="91"/>
      <c r="AG283" s="92"/>
      <c r="AH283" s="90"/>
      <c r="AI283" s="91"/>
      <c r="AJ283" s="91"/>
      <c r="AK283" s="91"/>
      <c r="AL283" s="91"/>
      <c r="AM283" s="206" t="s">
        <v>59</v>
      </c>
      <c r="AN283" s="392"/>
      <c r="AO283" s="392"/>
      <c r="AP283" s="392"/>
      <c r="AQ283" s="393"/>
      <c r="AU283" s="53"/>
      <c r="AV283" s="53"/>
      <c r="AW283" s="53"/>
    </row>
    <row r="284" spans="2:49" ht="13.5" thickBot="1" x14ac:dyDescent="0.25">
      <c r="B284" s="72"/>
      <c r="C284" s="85" t="s">
        <v>60</v>
      </c>
      <c r="D284" s="72"/>
      <c r="E284" s="93"/>
      <c r="F284" s="93"/>
      <c r="G284" s="93"/>
      <c r="H284" s="94"/>
      <c r="I284" s="72"/>
      <c r="J284" s="93"/>
      <c r="K284" s="93"/>
      <c r="L284" s="93"/>
      <c r="M284" s="94"/>
      <c r="N284" s="72"/>
      <c r="O284" s="93"/>
      <c r="P284" s="93"/>
      <c r="Q284" s="93"/>
      <c r="R284" s="94"/>
      <c r="S284" s="72"/>
      <c r="T284" s="93"/>
      <c r="U284" s="93"/>
      <c r="V284" s="93"/>
      <c r="W284" s="94"/>
      <c r="X284" s="72"/>
      <c r="Y284" s="93"/>
      <c r="Z284" s="93"/>
      <c r="AA284" s="93"/>
      <c r="AB284" s="94"/>
      <c r="AC284" s="72"/>
      <c r="AD284" s="93"/>
      <c r="AE284" s="93"/>
      <c r="AF284" s="93"/>
      <c r="AG284" s="94"/>
      <c r="AH284" s="72"/>
      <c r="AI284" s="93"/>
      <c r="AJ284" s="93"/>
      <c r="AK284" s="93"/>
      <c r="AL284" s="93"/>
      <c r="AM284" s="207" t="s">
        <v>60</v>
      </c>
      <c r="AN284" s="347"/>
      <c r="AO284" s="347"/>
      <c r="AP284" s="347"/>
      <c r="AQ284" s="348"/>
      <c r="AU284" s="53"/>
      <c r="AV284" s="53"/>
      <c r="AW284" s="53"/>
    </row>
    <row r="285" spans="2:49" ht="9.9499999999999993" customHeight="1" x14ac:dyDescent="0.2">
      <c r="B285" s="74"/>
      <c r="C285" s="74"/>
      <c r="D285" s="378" t="s">
        <v>61</v>
      </c>
      <c r="E285" s="379"/>
      <c r="F285" s="380"/>
      <c r="G285" s="384" t="s">
        <v>62</v>
      </c>
      <c r="H285" s="385"/>
      <c r="I285" s="385"/>
      <c r="J285" s="385"/>
      <c r="K285" s="385"/>
      <c r="L285" s="385"/>
      <c r="M285" s="385"/>
      <c r="N285" s="385"/>
      <c r="O285" s="386"/>
      <c r="P285" s="390" t="s">
        <v>56</v>
      </c>
      <c r="Q285" s="390" t="s">
        <v>63</v>
      </c>
      <c r="R285" s="67"/>
      <c r="S285" s="378" t="s">
        <v>61</v>
      </c>
      <c r="T285" s="379"/>
      <c r="U285" s="380"/>
      <c r="V285" s="384" t="s">
        <v>62</v>
      </c>
      <c r="W285" s="385"/>
      <c r="X285" s="385"/>
      <c r="Y285" s="385"/>
      <c r="Z285" s="385"/>
      <c r="AA285" s="385"/>
      <c r="AB285" s="385"/>
      <c r="AC285" s="385"/>
      <c r="AD285" s="386"/>
      <c r="AE285" s="390" t="s">
        <v>56</v>
      </c>
      <c r="AF285" s="390" t="s">
        <v>63</v>
      </c>
      <c r="AG285" s="95"/>
      <c r="AH285" s="96"/>
      <c r="AI285" s="96"/>
      <c r="AJ285" s="96"/>
      <c r="AK285" s="96"/>
      <c r="AL285" s="96"/>
      <c r="AM285" s="114"/>
      <c r="AN285" s="377" t="s">
        <v>1</v>
      </c>
      <c r="AO285" s="377"/>
      <c r="AP285" s="377" t="s">
        <v>2</v>
      </c>
      <c r="AQ285" s="377"/>
      <c r="AR285" s="97"/>
      <c r="AU285" s="53"/>
      <c r="AV285" s="53"/>
      <c r="AW285" s="53"/>
    </row>
    <row r="286" spans="2:49" ht="13.5" thickBot="1" x14ac:dyDescent="0.25">
      <c r="B286" s="74"/>
      <c r="C286" s="74"/>
      <c r="D286" s="381"/>
      <c r="E286" s="382"/>
      <c r="F286" s="383"/>
      <c r="G286" s="387"/>
      <c r="H286" s="388"/>
      <c r="I286" s="388"/>
      <c r="J286" s="388"/>
      <c r="K286" s="388"/>
      <c r="L286" s="388"/>
      <c r="M286" s="388"/>
      <c r="N286" s="388"/>
      <c r="O286" s="389"/>
      <c r="P286" s="391"/>
      <c r="Q286" s="391"/>
      <c r="R286" s="67"/>
      <c r="S286" s="381"/>
      <c r="T286" s="382"/>
      <c r="U286" s="383"/>
      <c r="V286" s="387"/>
      <c r="W286" s="388"/>
      <c r="X286" s="388"/>
      <c r="Y286" s="388"/>
      <c r="Z286" s="388"/>
      <c r="AA286" s="388"/>
      <c r="AB286" s="388"/>
      <c r="AC286" s="388"/>
      <c r="AD286" s="389"/>
      <c r="AE286" s="391"/>
      <c r="AF286" s="391"/>
      <c r="AG286" s="98"/>
      <c r="AH286" s="67"/>
      <c r="AI286" s="99" t="s">
        <v>64</v>
      </c>
      <c r="AJ286" s="99"/>
      <c r="AK286" s="99"/>
      <c r="AL286" s="99"/>
      <c r="AM286" s="99"/>
      <c r="AN286" s="99"/>
      <c r="AO286" s="100"/>
      <c r="AP286" s="100"/>
      <c r="AQ286" s="101"/>
      <c r="AR286" s="97"/>
      <c r="AU286" s="53"/>
      <c r="AV286" s="53"/>
      <c r="AW286" s="53"/>
    </row>
    <row r="287" spans="2:49" ht="13.5" customHeight="1" x14ac:dyDescent="0.2">
      <c r="B287" s="74"/>
      <c r="C287" s="74"/>
      <c r="D287" s="216"/>
      <c r="E287" s="209"/>
      <c r="F287" s="210"/>
      <c r="G287" s="211" t="s">
        <v>65</v>
      </c>
      <c r="H287" s="212"/>
      <c r="I287" s="212"/>
      <c r="J287" s="212"/>
      <c r="K287" s="212"/>
      <c r="L287" s="212"/>
      <c r="M287" s="212"/>
      <c r="N287" s="212"/>
      <c r="O287" s="213"/>
      <c r="P287" s="214"/>
      <c r="Q287" s="214"/>
      <c r="R287" s="215"/>
      <c r="S287" s="216"/>
      <c r="T287" s="209"/>
      <c r="U287" s="210"/>
      <c r="V287" s="211" t="s">
        <v>65</v>
      </c>
      <c r="W287" s="212"/>
      <c r="X287" s="212"/>
      <c r="Y287" s="212"/>
      <c r="Z287" s="212"/>
      <c r="AA287" s="212"/>
      <c r="AB287" s="212"/>
      <c r="AC287" s="212"/>
      <c r="AD287" s="213"/>
      <c r="AE287" s="214"/>
      <c r="AF287" s="214"/>
      <c r="AG287" s="365" t="s">
        <v>83</v>
      </c>
      <c r="AH287" s="366"/>
      <c r="AI287" s="366"/>
      <c r="AJ287" s="367"/>
      <c r="AK287" s="371" t="s">
        <v>66</v>
      </c>
      <c r="AL287" s="372"/>
      <c r="AM287" s="372"/>
      <c r="AN287" s="372"/>
      <c r="AO287" s="372"/>
      <c r="AP287" s="372"/>
      <c r="AQ287" s="373"/>
      <c r="AU287" s="53"/>
      <c r="AV287" s="53"/>
      <c r="AW287" s="53"/>
    </row>
    <row r="288" spans="2:49" ht="13.5" customHeight="1" thickBot="1" x14ac:dyDescent="0.25">
      <c r="B288" s="74"/>
      <c r="C288" s="74"/>
      <c r="D288" s="216"/>
      <c r="E288" s="209"/>
      <c r="F288" s="210"/>
      <c r="G288" s="217">
        <v>2</v>
      </c>
      <c r="H288" s="209"/>
      <c r="I288" s="209"/>
      <c r="J288" s="209"/>
      <c r="K288" s="209"/>
      <c r="L288" s="209"/>
      <c r="M288" s="209"/>
      <c r="N288" s="209"/>
      <c r="O288" s="210"/>
      <c r="P288" s="214"/>
      <c r="Q288" s="214"/>
      <c r="R288" s="215"/>
      <c r="S288" s="216"/>
      <c r="T288" s="209"/>
      <c r="U288" s="210"/>
      <c r="V288" s="217">
        <v>2</v>
      </c>
      <c r="W288" s="209"/>
      <c r="X288" s="209"/>
      <c r="Y288" s="209"/>
      <c r="Z288" s="209"/>
      <c r="AA288" s="209"/>
      <c r="AB288" s="209"/>
      <c r="AC288" s="209"/>
      <c r="AD288" s="210"/>
      <c r="AE288" s="214"/>
      <c r="AF288" s="214"/>
      <c r="AG288" s="368"/>
      <c r="AH288" s="369"/>
      <c r="AI288" s="369"/>
      <c r="AJ288" s="370"/>
      <c r="AK288" s="374"/>
      <c r="AL288" s="375"/>
      <c r="AM288" s="375"/>
      <c r="AN288" s="375"/>
      <c r="AO288" s="375"/>
      <c r="AP288" s="375"/>
      <c r="AQ288" s="376"/>
      <c r="AU288" s="53"/>
      <c r="AV288" s="53"/>
      <c r="AW288" s="53"/>
    </row>
    <row r="289" spans="2:49" ht="13.5" customHeight="1" x14ac:dyDescent="0.2">
      <c r="B289" s="74"/>
      <c r="C289" s="74"/>
      <c r="D289" s="216"/>
      <c r="E289" s="209"/>
      <c r="F289" s="210"/>
      <c r="G289" s="217">
        <v>3</v>
      </c>
      <c r="H289" s="209"/>
      <c r="I289" s="209"/>
      <c r="J289" s="209"/>
      <c r="K289" s="209"/>
      <c r="L289" s="209"/>
      <c r="M289" s="209"/>
      <c r="N289" s="209"/>
      <c r="O289" s="210"/>
      <c r="P289" s="214"/>
      <c r="Q289" s="214"/>
      <c r="R289" s="215"/>
      <c r="S289" s="216"/>
      <c r="T289" s="209"/>
      <c r="U289" s="210"/>
      <c r="V289" s="217">
        <v>3</v>
      </c>
      <c r="W289" s="209"/>
      <c r="X289" s="209"/>
      <c r="Y289" s="209"/>
      <c r="Z289" s="209"/>
      <c r="AA289" s="209"/>
      <c r="AB289" s="209"/>
      <c r="AC289" s="209"/>
      <c r="AD289" s="210"/>
      <c r="AE289" s="214"/>
      <c r="AF289" s="214"/>
      <c r="AG289" s="365" t="s">
        <v>2</v>
      </c>
      <c r="AH289" s="366"/>
      <c r="AI289" s="366"/>
      <c r="AJ289" s="367"/>
      <c r="AK289" s="371" t="s">
        <v>66</v>
      </c>
      <c r="AL289" s="372"/>
      <c r="AM289" s="372"/>
      <c r="AN289" s="372"/>
      <c r="AO289" s="372"/>
      <c r="AP289" s="372"/>
      <c r="AQ289" s="373"/>
      <c r="AU289" s="53"/>
      <c r="AV289" s="53"/>
      <c r="AW289" s="53"/>
    </row>
    <row r="290" spans="2:49" ht="13.5" customHeight="1" thickBot="1" x14ac:dyDescent="0.25">
      <c r="B290" s="74"/>
      <c r="C290" s="74"/>
      <c r="D290" s="216"/>
      <c r="E290" s="209"/>
      <c r="F290" s="210"/>
      <c r="G290" s="217">
        <v>4</v>
      </c>
      <c r="H290" s="209"/>
      <c r="I290" s="209"/>
      <c r="J290" s="209"/>
      <c r="K290" s="209"/>
      <c r="L290" s="209"/>
      <c r="M290" s="209"/>
      <c r="N290" s="209"/>
      <c r="O290" s="210"/>
      <c r="P290" s="214"/>
      <c r="Q290" s="214"/>
      <c r="R290" s="215"/>
      <c r="S290" s="216"/>
      <c r="T290" s="209"/>
      <c r="U290" s="210"/>
      <c r="V290" s="217">
        <v>4</v>
      </c>
      <c r="W290" s="209"/>
      <c r="X290" s="209"/>
      <c r="Y290" s="209"/>
      <c r="Z290" s="209"/>
      <c r="AA290" s="209"/>
      <c r="AB290" s="209"/>
      <c r="AC290" s="209"/>
      <c r="AD290" s="210"/>
      <c r="AE290" s="214"/>
      <c r="AF290" s="214"/>
      <c r="AG290" s="368"/>
      <c r="AH290" s="369"/>
      <c r="AI290" s="369"/>
      <c r="AJ290" s="370"/>
      <c r="AK290" s="374"/>
      <c r="AL290" s="375"/>
      <c r="AM290" s="375"/>
      <c r="AN290" s="375"/>
      <c r="AO290" s="375"/>
      <c r="AP290" s="375"/>
      <c r="AQ290" s="376"/>
      <c r="AU290" s="53"/>
      <c r="AV290" s="53"/>
      <c r="AW290" s="53"/>
    </row>
    <row r="291" spans="2:49" ht="13.5" customHeight="1" x14ac:dyDescent="0.2">
      <c r="B291" s="74"/>
      <c r="C291" s="74"/>
      <c r="D291" s="216"/>
      <c r="E291" s="209"/>
      <c r="F291" s="210"/>
      <c r="G291" s="217">
        <v>5</v>
      </c>
      <c r="H291" s="209"/>
      <c r="I291" s="209"/>
      <c r="J291" s="209"/>
      <c r="K291" s="209"/>
      <c r="L291" s="209"/>
      <c r="M291" s="209"/>
      <c r="N291" s="209"/>
      <c r="O291" s="210"/>
      <c r="P291" s="214"/>
      <c r="Q291" s="214"/>
      <c r="R291" s="215"/>
      <c r="S291" s="216"/>
      <c r="T291" s="209"/>
      <c r="U291" s="210"/>
      <c r="V291" s="217">
        <v>5</v>
      </c>
      <c r="W291" s="209"/>
      <c r="X291" s="209"/>
      <c r="Y291" s="209"/>
      <c r="Z291" s="209"/>
      <c r="AA291" s="209"/>
      <c r="AB291" s="209"/>
      <c r="AC291" s="209"/>
      <c r="AD291" s="210"/>
      <c r="AE291" s="214"/>
      <c r="AF291" s="214"/>
      <c r="AG291" s="102" t="s">
        <v>67</v>
      </c>
      <c r="AH291" s="70"/>
      <c r="AI291" s="70"/>
      <c r="AJ291" s="70"/>
      <c r="AK291" s="70"/>
      <c r="AL291" s="70"/>
      <c r="AM291" s="70"/>
      <c r="AN291" s="70"/>
      <c r="AO291" s="70" t="s">
        <v>68</v>
      </c>
      <c r="AP291" s="70"/>
      <c r="AQ291" s="79"/>
      <c r="AU291" s="53"/>
      <c r="AV291" s="53"/>
      <c r="AW291" s="53"/>
    </row>
    <row r="292" spans="2:49" ht="13.5" customHeight="1" x14ac:dyDescent="0.2">
      <c r="B292" s="74"/>
      <c r="C292" s="74"/>
      <c r="D292" s="216"/>
      <c r="E292" s="209"/>
      <c r="F292" s="210"/>
      <c r="G292" s="217">
        <v>6</v>
      </c>
      <c r="H292" s="209"/>
      <c r="I292" s="209"/>
      <c r="J292" s="209"/>
      <c r="K292" s="209"/>
      <c r="L292" s="209"/>
      <c r="M292" s="209"/>
      <c r="N292" s="209"/>
      <c r="O292" s="210"/>
      <c r="P292" s="214"/>
      <c r="Q292" s="214"/>
      <c r="R292" s="215"/>
      <c r="S292" s="216"/>
      <c r="T292" s="209"/>
      <c r="U292" s="210"/>
      <c r="V292" s="217">
        <v>6</v>
      </c>
      <c r="W292" s="209"/>
      <c r="X292" s="209"/>
      <c r="Y292" s="209"/>
      <c r="Z292" s="209"/>
      <c r="AA292" s="209"/>
      <c r="AB292" s="209"/>
      <c r="AC292" s="209"/>
      <c r="AD292" s="210"/>
      <c r="AE292" s="214"/>
      <c r="AF292" s="214"/>
      <c r="AG292" s="103"/>
      <c r="AH292" s="67"/>
      <c r="AI292" s="67"/>
      <c r="AJ292" s="67"/>
      <c r="AK292" s="67"/>
      <c r="AL292" s="67"/>
      <c r="AM292" s="67"/>
      <c r="AN292" s="67"/>
      <c r="AO292" s="67"/>
      <c r="AP292" s="67"/>
      <c r="AQ292" s="81"/>
      <c r="AU292" s="53"/>
      <c r="AV292" s="53"/>
      <c r="AW292" s="53"/>
    </row>
    <row r="293" spans="2:49" ht="13.5" customHeight="1" thickBot="1" x14ac:dyDescent="0.25">
      <c r="B293" s="74"/>
      <c r="C293" s="74"/>
      <c r="D293" s="216"/>
      <c r="E293" s="209"/>
      <c r="F293" s="210"/>
      <c r="G293" s="217">
        <v>7</v>
      </c>
      <c r="H293" s="209"/>
      <c r="I293" s="209"/>
      <c r="J293" s="209"/>
      <c r="K293" s="209"/>
      <c r="L293" s="209"/>
      <c r="M293" s="209"/>
      <c r="N293" s="209"/>
      <c r="O293" s="210"/>
      <c r="P293" s="214"/>
      <c r="Q293" s="214"/>
      <c r="R293" s="215"/>
      <c r="S293" s="216"/>
      <c r="T293" s="209"/>
      <c r="U293" s="210"/>
      <c r="V293" s="217">
        <v>7</v>
      </c>
      <c r="W293" s="209"/>
      <c r="X293" s="209"/>
      <c r="Y293" s="209"/>
      <c r="Z293" s="209"/>
      <c r="AA293" s="209"/>
      <c r="AB293" s="209"/>
      <c r="AC293" s="209"/>
      <c r="AD293" s="210"/>
      <c r="AE293" s="214"/>
      <c r="AF293" s="214"/>
      <c r="AG293" s="74" t="s">
        <v>69</v>
      </c>
      <c r="AH293" s="67"/>
      <c r="AI293" s="67"/>
      <c r="AJ293" s="67"/>
      <c r="AK293" s="67"/>
      <c r="AL293" s="67"/>
      <c r="AM293" s="67"/>
      <c r="AN293" s="67"/>
      <c r="AO293" s="67"/>
      <c r="AP293" s="67"/>
      <c r="AQ293" s="81"/>
      <c r="AU293" s="53"/>
      <c r="AV293" s="53"/>
      <c r="AW293" s="53"/>
    </row>
    <row r="294" spans="2:49" ht="13.5" customHeight="1" thickBot="1" x14ac:dyDescent="0.25">
      <c r="B294" s="74"/>
      <c r="C294" s="74"/>
      <c r="D294" s="222"/>
      <c r="E294" s="218"/>
      <c r="F294" s="219"/>
      <c r="G294" s="220">
        <v>8</v>
      </c>
      <c r="H294" s="218"/>
      <c r="I294" s="218"/>
      <c r="J294" s="218"/>
      <c r="K294" s="218"/>
      <c r="L294" s="218"/>
      <c r="M294" s="218"/>
      <c r="N294" s="218"/>
      <c r="O294" s="219"/>
      <c r="P294" s="221"/>
      <c r="Q294" s="221"/>
      <c r="R294" s="215"/>
      <c r="S294" s="222"/>
      <c r="T294" s="218"/>
      <c r="U294" s="219"/>
      <c r="V294" s="220">
        <v>8</v>
      </c>
      <c r="W294" s="218"/>
      <c r="X294" s="218"/>
      <c r="Y294" s="218"/>
      <c r="Z294" s="218"/>
      <c r="AA294" s="218"/>
      <c r="AB294" s="218"/>
      <c r="AC294" s="218"/>
      <c r="AD294" s="219"/>
      <c r="AE294" s="221"/>
      <c r="AF294" s="221"/>
      <c r="AG294" s="104" t="s">
        <v>70</v>
      </c>
      <c r="AH294" s="70"/>
      <c r="AI294" s="70"/>
      <c r="AJ294" s="70"/>
      <c r="AK294" s="70"/>
      <c r="AL294" s="70"/>
      <c r="AM294" s="70"/>
      <c r="AN294" s="70"/>
      <c r="AO294" s="70"/>
      <c r="AP294" s="70"/>
      <c r="AQ294" s="79"/>
      <c r="AU294" s="53"/>
      <c r="AV294" s="53"/>
      <c r="AW294" s="53"/>
    </row>
    <row r="295" spans="2:49" ht="13.5" customHeight="1" thickBot="1" x14ac:dyDescent="0.25">
      <c r="B295" s="74"/>
      <c r="C295" s="74"/>
      <c r="D295" s="89"/>
      <c r="E295" s="105"/>
      <c r="F295" s="105"/>
      <c r="G295" s="105"/>
      <c r="H295" s="105"/>
      <c r="I295" s="105"/>
      <c r="J295" s="106" t="s">
        <v>71</v>
      </c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7"/>
      <c r="AG295" s="84" t="s">
        <v>72</v>
      </c>
      <c r="AH295" s="67"/>
      <c r="AI295" s="67"/>
      <c r="AJ295" s="67"/>
      <c r="AK295" s="67"/>
      <c r="AL295" s="67"/>
      <c r="AM295" s="67"/>
      <c r="AN295" s="67"/>
      <c r="AO295" s="67"/>
      <c r="AP295" s="67"/>
      <c r="AQ295" s="81"/>
      <c r="AU295" s="53"/>
      <c r="AV295" s="53"/>
      <c r="AW295" s="53"/>
    </row>
    <row r="296" spans="2:49" ht="13.5" customHeight="1" thickBot="1" x14ac:dyDescent="0.25">
      <c r="B296" s="74"/>
      <c r="C296" s="74"/>
      <c r="D296" s="108" t="s">
        <v>73</v>
      </c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7"/>
      <c r="S296" s="108" t="s">
        <v>74</v>
      </c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7"/>
      <c r="AG296" s="109" t="s">
        <v>75</v>
      </c>
      <c r="AH296" s="110"/>
      <c r="AI296" s="110"/>
      <c r="AJ296" s="110"/>
      <c r="AK296" s="110"/>
      <c r="AL296" s="87"/>
      <c r="AM296" s="111" t="s">
        <v>76</v>
      </c>
      <c r="AN296" s="110"/>
      <c r="AO296" s="110"/>
      <c r="AP296" s="110"/>
      <c r="AQ296" s="87"/>
      <c r="AU296" s="53"/>
      <c r="AV296" s="53"/>
      <c r="AW296" s="53"/>
    </row>
    <row r="297" spans="2:49" ht="17.25" customHeight="1" thickBot="1" x14ac:dyDescent="0.25">
      <c r="B297" s="72"/>
      <c r="C297" s="72"/>
      <c r="D297" s="108" t="s">
        <v>77</v>
      </c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7"/>
      <c r="S297" s="108" t="s">
        <v>6</v>
      </c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7"/>
      <c r="AG297" s="112" t="s">
        <v>78</v>
      </c>
      <c r="AH297" s="73"/>
      <c r="AI297" s="73"/>
      <c r="AJ297" s="73"/>
      <c r="AK297" s="73"/>
      <c r="AL297" s="87"/>
      <c r="AM297" s="113" t="s">
        <v>79</v>
      </c>
      <c r="AN297" s="73"/>
      <c r="AO297" s="73"/>
      <c r="AP297" s="73"/>
      <c r="AQ297" s="87"/>
      <c r="AU297" s="53"/>
      <c r="AV297" s="53"/>
      <c r="AW297" s="53"/>
    </row>
    <row r="298" spans="2:49" ht="17.25" customHeight="1" thickBot="1" x14ac:dyDescent="0.25">
      <c r="B298" s="67"/>
      <c r="C298" s="67"/>
      <c r="D298" s="114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114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115"/>
      <c r="AH298" s="67"/>
      <c r="AI298" s="67"/>
      <c r="AJ298" s="67"/>
      <c r="AK298" s="67"/>
      <c r="AL298" s="67"/>
      <c r="AM298" s="116"/>
      <c r="AN298" s="67"/>
      <c r="AO298" s="67"/>
      <c r="AP298" s="67"/>
      <c r="AQ298" s="67"/>
      <c r="AU298" s="53"/>
      <c r="AV298" s="53"/>
      <c r="AW298" s="53"/>
    </row>
    <row r="299" spans="2:49" ht="17.25" customHeight="1" x14ac:dyDescent="0.25">
      <c r="B299" s="68"/>
      <c r="C299" s="68"/>
      <c r="D299" s="69" t="s">
        <v>44</v>
      </c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1" t="s">
        <v>89</v>
      </c>
      <c r="Z299" s="70"/>
      <c r="AA299" s="70"/>
      <c r="AB299" s="70"/>
      <c r="AC299" s="70"/>
      <c r="AD299" s="70"/>
      <c r="AE299" s="70"/>
      <c r="AF299" s="70"/>
      <c r="AG299" s="70"/>
      <c r="AH299" s="441" t="s">
        <v>45</v>
      </c>
      <c r="AI299" s="442"/>
      <c r="AJ299" s="442"/>
      <c r="AK299" s="442"/>
      <c r="AL299" s="442"/>
      <c r="AM299" s="443">
        <f>IF(($AU$9+9)&gt;$AX$9,"",VLOOKUP($AU$9+9,Spielplan,3,0))</f>
        <v>0.12152777777777776</v>
      </c>
      <c r="AN299" s="443"/>
      <c r="AO299" s="443"/>
      <c r="AP299" s="443"/>
      <c r="AQ299" s="444"/>
      <c r="AU299" s="53"/>
      <c r="AV299" s="53"/>
      <c r="AW299" s="53"/>
    </row>
    <row r="300" spans="2:49" ht="0.75" customHeight="1" thickBot="1" x14ac:dyDescent="0.25">
      <c r="B300" s="72"/>
      <c r="C300" s="72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4"/>
      <c r="AI300" s="67"/>
      <c r="AJ300" s="67"/>
      <c r="AK300" s="67"/>
      <c r="AL300" s="67"/>
      <c r="AM300" s="75"/>
      <c r="AN300" s="75"/>
      <c r="AO300" s="75"/>
      <c r="AP300" s="75"/>
      <c r="AQ300" s="76"/>
      <c r="AU300" s="53"/>
      <c r="AV300" s="53"/>
      <c r="AW300" s="53"/>
    </row>
    <row r="301" spans="2:49" ht="15" x14ac:dyDescent="0.25">
      <c r="B301" s="68"/>
      <c r="C301" s="77"/>
      <c r="D301" s="68"/>
      <c r="E301" s="78" t="s">
        <v>6</v>
      </c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9"/>
      <c r="S301" s="439" t="s">
        <v>46</v>
      </c>
      <c r="T301" s="440"/>
      <c r="U301" s="440"/>
      <c r="V301" s="440"/>
      <c r="W301" s="440"/>
      <c r="X301" s="440"/>
      <c r="Y301" s="366" t="str">
        <f>IF(($AU$9+9)&gt;$AX$9,"","SHTV")</f>
        <v>SHTV</v>
      </c>
      <c r="Z301" s="366"/>
      <c r="AA301" s="366"/>
      <c r="AB301" s="366"/>
      <c r="AC301" s="366"/>
      <c r="AD301" s="366"/>
      <c r="AE301" s="366"/>
      <c r="AF301" s="366"/>
      <c r="AG301" s="366"/>
      <c r="AH301" s="430" t="s">
        <v>47</v>
      </c>
      <c r="AI301" s="431"/>
      <c r="AJ301" s="431"/>
      <c r="AK301" s="431"/>
      <c r="AL301" s="431"/>
      <c r="AM301" s="434">
        <f>IF(($AU$9+9)&gt;$AX$9,"",VLOOKUP($AU$9+9,Spielplan,4,0))</f>
        <v>6</v>
      </c>
      <c r="AN301" s="435"/>
      <c r="AO301" s="435"/>
      <c r="AP301" s="435"/>
      <c r="AQ301" s="436"/>
      <c r="AU301" s="53"/>
      <c r="AV301" s="53"/>
      <c r="AW301" s="53"/>
    </row>
    <row r="302" spans="2:49" ht="9.9499999999999993" customHeight="1" x14ac:dyDescent="0.2">
      <c r="B302" s="74"/>
      <c r="C302" s="80"/>
      <c r="D302" s="74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81"/>
      <c r="S302" s="423"/>
      <c r="T302" s="406"/>
      <c r="U302" s="406"/>
      <c r="V302" s="406"/>
      <c r="W302" s="406"/>
      <c r="X302" s="406"/>
      <c r="Y302" s="425"/>
      <c r="Z302" s="425"/>
      <c r="AA302" s="425"/>
      <c r="AB302" s="425"/>
      <c r="AC302" s="425"/>
      <c r="AD302" s="425"/>
      <c r="AE302" s="425"/>
      <c r="AF302" s="425"/>
      <c r="AG302" s="425"/>
      <c r="AH302" s="432"/>
      <c r="AI302" s="433"/>
      <c r="AJ302" s="433"/>
      <c r="AK302" s="433"/>
      <c r="AL302" s="433"/>
      <c r="AM302" s="437"/>
      <c r="AN302" s="437"/>
      <c r="AO302" s="437"/>
      <c r="AP302" s="437"/>
      <c r="AQ302" s="438"/>
      <c r="AU302" s="53"/>
      <c r="AV302" s="53"/>
      <c r="AW302" s="53"/>
    </row>
    <row r="303" spans="2:49" ht="13.15" customHeight="1" x14ac:dyDescent="0.2">
      <c r="B303" s="74"/>
      <c r="C303" s="80"/>
      <c r="D303" s="74"/>
      <c r="E303" s="67" t="s">
        <v>48</v>
      </c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81"/>
      <c r="S303" s="422" t="s">
        <v>49</v>
      </c>
      <c r="T303" s="406"/>
      <c r="U303" s="406"/>
      <c r="V303" s="406"/>
      <c r="W303" s="406"/>
      <c r="X303" s="406"/>
      <c r="Y303" s="425">
        <f>IF(($AU$9+9)&gt;$AX$9,"",Platzierung!$U$3)</f>
        <v>0</v>
      </c>
      <c r="Z303" s="425"/>
      <c r="AA303" s="425"/>
      <c r="AB303" s="425"/>
      <c r="AC303" s="425"/>
      <c r="AD303" s="425"/>
      <c r="AE303" s="425"/>
      <c r="AF303" s="425"/>
      <c r="AG303" s="425"/>
      <c r="AH303" s="430" t="s">
        <v>50</v>
      </c>
      <c r="AI303" s="431"/>
      <c r="AJ303" s="431"/>
      <c r="AK303" s="431"/>
      <c r="AL303" s="431"/>
      <c r="AM303" s="434">
        <f>IF(($AU$9+9)&gt;$AX$9,"",VLOOKUP($AU$9+9,Spielplan,6,0))</f>
        <v>10</v>
      </c>
      <c r="AN303" s="435"/>
      <c r="AO303" s="435"/>
      <c r="AP303" s="435"/>
      <c r="AQ303" s="436"/>
      <c r="AU303" s="53"/>
      <c r="AV303" s="53"/>
      <c r="AW303" s="53"/>
    </row>
    <row r="304" spans="2:49" ht="9.9499999999999993" customHeight="1" x14ac:dyDescent="0.2">
      <c r="B304" s="74"/>
      <c r="C304" s="80"/>
      <c r="D304" s="74"/>
      <c r="E304" s="67"/>
      <c r="F304" s="67"/>
      <c r="G304" s="67"/>
      <c r="H304" s="67"/>
      <c r="I304" s="67"/>
      <c r="J304" s="82" t="s">
        <v>51</v>
      </c>
      <c r="K304" s="67"/>
      <c r="L304" s="67"/>
      <c r="M304" s="67"/>
      <c r="N304" s="67"/>
      <c r="O304" s="67"/>
      <c r="P304" s="67"/>
      <c r="Q304" s="67"/>
      <c r="R304" s="81"/>
      <c r="S304" s="423"/>
      <c r="T304" s="406"/>
      <c r="U304" s="406"/>
      <c r="V304" s="406"/>
      <c r="W304" s="406"/>
      <c r="X304" s="406"/>
      <c r="Y304" s="425"/>
      <c r="Z304" s="425"/>
      <c r="AA304" s="425"/>
      <c r="AB304" s="425"/>
      <c r="AC304" s="425"/>
      <c r="AD304" s="425"/>
      <c r="AE304" s="425"/>
      <c r="AF304" s="425"/>
      <c r="AG304" s="425"/>
      <c r="AH304" s="432"/>
      <c r="AI304" s="433"/>
      <c r="AJ304" s="433"/>
      <c r="AK304" s="433"/>
      <c r="AL304" s="433"/>
      <c r="AM304" s="437"/>
      <c r="AN304" s="437"/>
      <c r="AO304" s="437"/>
      <c r="AP304" s="437"/>
      <c r="AQ304" s="438"/>
      <c r="AU304" s="53"/>
      <c r="AV304" s="53"/>
      <c r="AW304" s="53"/>
    </row>
    <row r="305" spans="2:49" ht="15.75" customHeight="1" x14ac:dyDescent="0.2">
      <c r="B305" s="74"/>
      <c r="C305" s="80"/>
      <c r="D305" s="418">
        <f>IF(($AU$9+9)&gt;$AX$9,"",VLOOKUP($AU$9+9,Spielplan,10,0))</f>
        <v>0</v>
      </c>
      <c r="E305" s="419"/>
      <c r="F305" s="419"/>
      <c r="G305" s="419"/>
      <c r="H305" s="419"/>
      <c r="I305" s="419"/>
      <c r="J305" s="419"/>
      <c r="K305" s="419"/>
      <c r="L305" s="419"/>
      <c r="M305" s="419"/>
      <c r="N305" s="419"/>
      <c r="O305" s="419"/>
      <c r="P305" s="419"/>
      <c r="Q305" s="419"/>
      <c r="R305" s="420"/>
      <c r="S305" s="422" t="s">
        <v>52</v>
      </c>
      <c r="T305" s="406"/>
      <c r="U305" s="406"/>
      <c r="V305" s="406"/>
      <c r="W305" s="406"/>
      <c r="X305" s="406"/>
      <c r="Y305" s="424">
        <f>IF(($AU$9+9)&gt;$AX$9,"",VLOOKUP($AU$9+9,Spielplan,2,0))</f>
        <v>0</v>
      </c>
      <c r="Z305" s="425"/>
      <c r="AA305" s="425"/>
      <c r="AB305" s="425"/>
      <c r="AC305" s="425"/>
      <c r="AD305" s="425"/>
      <c r="AE305" s="425"/>
      <c r="AF305" s="425"/>
      <c r="AG305" s="425"/>
      <c r="AH305" s="405" t="s">
        <v>53</v>
      </c>
      <c r="AI305" s="406"/>
      <c r="AJ305" s="406"/>
      <c r="AK305" s="406"/>
      <c r="AL305" s="406"/>
      <c r="AM305" s="400">
        <f>IF(($AU$9+9)&gt;$AX$9,"",VLOOKUP($AU$9+9,Spielplan,5,0))</f>
        <v>2</v>
      </c>
      <c r="AN305" s="401"/>
      <c r="AO305" s="401"/>
      <c r="AP305" s="401"/>
      <c r="AQ305" s="402"/>
      <c r="AU305" s="53"/>
      <c r="AV305" s="53"/>
      <c r="AW305" s="53"/>
    </row>
    <row r="306" spans="2:49" ht="11.1" customHeight="1" thickBot="1" x14ac:dyDescent="0.25">
      <c r="B306" s="74"/>
      <c r="C306" s="80"/>
      <c r="D306" s="421"/>
      <c r="E306" s="419"/>
      <c r="F306" s="419"/>
      <c r="G306" s="419"/>
      <c r="H306" s="419"/>
      <c r="I306" s="419"/>
      <c r="J306" s="419"/>
      <c r="K306" s="419"/>
      <c r="L306" s="419"/>
      <c r="M306" s="419"/>
      <c r="N306" s="419"/>
      <c r="O306" s="419"/>
      <c r="P306" s="419"/>
      <c r="Q306" s="419"/>
      <c r="R306" s="420"/>
      <c r="S306" s="423"/>
      <c r="T306" s="406"/>
      <c r="U306" s="406"/>
      <c r="V306" s="406"/>
      <c r="W306" s="406"/>
      <c r="X306" s="406"/>
      <c r="Y306" s="425"/>
      <c r="Z306" s="425"/>
      <c r="AA306" s="425"/>
      <c r="AB306" s="425"/>
      <c r="AC306" s="425"/>
      <c r="AD306" s="425"/>
      <c r="AE306" s="425"/>
      <c r="AF306" s="425"/>
      <c r="AG306" s="425"/>
      <c r="AH306" s="407"/>
      <c r="AI306" s="408"/>
      <c r="AJ306" s="408"/>
      <c r="AK306" s="408"/>
      <c r="AL306" s="408"/>
      <c r="AM306" s="403"/>
      <c r="AN306" s="403"/>
      <c r="AO306" s="403"/>
      <c r="AP306" s="403"/>
      <c r="AQ306" s="404"/>
      <c r="AU306" s="53"/>
      <c r="AV306" s="53"/>
      <c r="AW306" s="53"/>
    </row>
    <row r="307" spans="2:49" ht="11.1" customHeight="1" thickBot="1" x14ac:dyDescent="0.25">
      <c r="B307" s="74"/>
      <c r="C307" s="80"/>
      <c r="D307" s="72"/>
      <c r="E307" s="73"/>
      <c r="F307" s="73"/>
      <c r="G307" s="73"/>
      <c r="H307" s="73"/>
      <c r="I307" s="73"/>
      <c r="J307" s="73" t="s">
        <v>54</v>
      </c>
      <c r="K307" s="73"/>
      <c r="L307" s="73"/>
      <c r="M307" s="73"/>
      <c r="N307" s="73"/>
      <c r="O307" s="67"/>
      <c r="P307" s="67"/>
      <c r="Q307" s="73"/>
      <c r="R307" s="83"/>
      <c r="S307" s="74"/>
      <c r="T307" s="67"/>
      <c r="U307" s="67"/>
      <c r="V307" s="67"/>
      <c r="W307" s="67"/>
      <c r="X307" s="67"/>
      <c r="Y307" s="409"/>
      <c r="Z307" s="409"/>
      <c r="AA307" s="409"/>
      <c r="AB307" s="409"/>
      <c r="AC307" s="409"/>
      <c r="AD307" s="409"/>
      <c r="AE307" s="409"/>
      <c r="AF307" s="410"/>
      <c r="AG307" s="411"/>
      <c r="AH307" s="84" t="s">
        <v>55</v>
      </c>
      <c r="AI307" s="67"/>
      <c r="AJ307" s="67"/>
      <c r="AK307" s="67"/>
      <c r="AL307" s="67"/>
      <c r="AM307" s="67"/>
      <c r="AN307" s="67"/>
      <c r="AO307" s="85"/>
      <c r="AP307" s="67"/>
      <c r="AQ307" s="81"/>
      <c r="AU307" s="53"/>
      <c r="AV307" s="53"/>
      <c r="AW307" s="53"/>
    </row>
    <row r="308" spans="2:49" ht="13.5" customHeight="1" thickBot="1" x14ac:dyDescent="0.3">
      <c r="B308" s="74"/>
      <c r="C308" s="80"/>
      <c r="D308" s="68"/>
      <c r="E308" s="78" t="s">
        <v>8</v>
      </c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412" t="s">
        <v>56</v>
      </c>
      <c r="R308" s="68"/>
      <c r="S308" s="68"/>
      <c r="T308" s="78" t="s">
        <v>7</v>
      </c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9"/>
      <c r="AF308" s="415" t="s">
        <v>56</v>
      </c>
      <c r="AG308" s="74"/>
      <c r="AH308" s="86" t="s">
        <v>57</v>
      </c>
      <c r="AI308" s="73"/>
      <c r="AJ308" s="73"/>
      <c r="AK308" s="73"/>
      <c r="AL308" s="73"/>
      <c r="AM308" s="73"/>
      <c r="AN308" s="73"/>
      <c r="AO308" s="87"/>
      <c r="AP308" s="67"/>
      <c r="AQ308" s="81"/>
      <c r="AU308" s="53"/>
      <c r="AV308" s="53"/>
      <c r="AW308" s="53"/>
    </row>
    <row r="309" spans="2:49" ht="12" customHeight="1" thickBot="1" x14ac:dyDescent="0.25">
      <c r="B309" s="74"/>
      <c r="C309" s="80"/>
      <c r="D309" s="418">
        <f>IF(($AU$9+9)&gt;$AX$9,"",VLOOKUP($AU$9+9,Spielplan,7,0))</f>
        <v>0</v>
      </c>
      <c r="E309" s="419"/>
      <c r="F309" s="419"/>
      <c r="G309" s="419"/>
      <c r="H309" s="419"/>
      <c r="I309" s="419"/>
      <c r="J309" s="419"/>
      <c r="K309" s="419"/>
      <c r="L309" s="419"/>
      <c r="M309" s="419"/>
      <c r="N309" s="419"/>
      <c r="O309" s="419"/>
      <c r="P309" s="420"/>
      <c r="Q309" s="413"/>
      <c r="R309" s="74"/>
      <c r="S309" s="418">
        <f>IF(($AU$9+9)&gt;$AX$9,"",VLOOKUP($AU$9+9,Spielplan,9,0))</f>
        <v>0</v>
      </c>
      <c r="T309" s="419"/>
      <c r="U309" s="419"/>
      <c r="V309" s="419"/>
      <c r="W309" s="419"/>
      <c r="X309" s="419"/>
      <c r="Y309" s="419"/>
      <c r="Z309" s="419"/>
      <c r="AA309" s="419"/>
      <c r="AB309" s="419"/>
      <c r="AC309" s="419"/>
      <c r="AD309" s="419"/>
      <c r="AE309" s="429"/>
      <c r="AF309" s="416"/>
      <c r="AG309" s="74"/>
      <c r="AH309" s="394" t="s">
        <v>58</v>
      </c>
      <c r="AI309" s="395"/>
      <c r="AJ309" s="395"/>
      <c r="AK309" s="395"/>
      <c r="AL309" s="395"/>
      <c r="AM309" s="396"/>
      <c r="AN309" s="88" t="s">
        <v>59</v>
      </c>
      <c r="AO309" s="89"/>
      <c r="AP309" s="89"/>
      <c r="AQ309" s="87"/>
      <c r="AU309" s="53"/>
      <c r="AV309" s="53"/>
      <c r="AW309" s="53"/>
    </row>
    <row r="310" spans="2:49" ht="12" customHeight="1" thickBot="1" x14ac:dyDescent="0.25">
      <c r="B310" s="72"/>
      <c r="C310" s="85"/>
      <c r="D310" s="426"/>
      <c r="E310" s="427"/>
      <c r="F310" s="427"/>
      <c r="G310" s="427"/>
      <c r="H310" s="427"/>
      <c r="I310" s="427"/>
      <c r="J310" s="427"/>
      <c r="K310" s="427"/>
      <c r="L310" s="427"/>
      <c r="M310" s="427"/>
      <c r="N310" s="427"/>
      <c r="O310" s="427"/>
      <c r="P310" s="428"/>
      <c r="Q310" s="414"/>
      <c r="R310" s="72"/>
      <c r="S310" s="426"/>
      <c r="T310" s="427"/>
      <c r="U310" s="427"/>
      <c r="V310" s="427"/>
      <c r="W310" s="427"/>
      <c r="X310" s="427"/>
      <c r="Y310" s="427"/>
      <c r="Z310" s="427"/>
      <c r="AA310" s="427"/>
      <c r="AB310" s="427"/>
      <c r="AC310" s="427"/>
      <c r="AD310" s="427"/>
      <c r="AE310" s="389"/>
      <c r="AF310" s="417"/>
      <c r="AG310" s="72"/>
      <c r="AH310" s="397"/>
      <c r="AI310" s="398"/>
      <c r="AJ310" s="398"/>
      <c r="AK310" s="398"/>
      <c r="AL310" s="398"/>
      <c r="AM310" s="399"/>
      <c r="AN310" s="88" t="s">
        <v>60</v>
      </c>
      <c r="AO310" s="89"/>
      <c r="AP310" s="89"/>
      <c r="AQ310" s="87"/>
      <c r="AU310" s="53"/>
      <c r="AV310" s="53"/>
      <c r="AW310" s="53"/>
    </row>
    <row r="311" spans="2:49" ht="9.9499999999999993" customHeight="1" thickBot="1" x14ac:dyDescent="0.25">
      <c r="B311" s="74"/>
      <c r="C311" s="7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81"/>
      <c r="AU311" s="53"/>
      <c r="AV311" s="53"/>
      <c r="AW311" s="53"/>
    </row>
    <row r="312" spans="2:49" x14ac:dyDescent="0.2">
      <c r="B312" s="68"/>
      <c r="C312" s="77" t="s">
        <v>59</v>
      </c>
      <c r="D312" s="90"/>
      <c r="E312" s="91"/>
      <c r="F312" s="91"/>
      <c r="G312" s="91"/>
      <c r="H312" s="92"/>
      <c r="I312" s="90"/>
      <c r="J312" s="91"/>
      <c r="K312" s="91"/>
      <c r="L312" s="91"/>
      <c r="M312" s="92"/>
      <c r="N312" s="90"/>
      <c r="O312" s="91"/>
      <c r="P312" s="91"/>
      <c r="Q312" s="91"/>
      <c r="R312" s="92"/>
      <c r="S312" s="90"/>
      <c r="T312" s="91"/>
      <c r="U312" s="91"/>
      <c r="V312" s="91"/>
      <c r="W312" s="92"/>
      <c r="X312" s="90"/>
      <c r="Y312" s="91"/>
      <c r="Z312" s="91"/>
      <c r="AA312" s="91"/>
      <c r="AB312" s="92"/>
      <c r="AC312" s="90"/>
      <c r="AD312" s="91"/>
      <c r="AE312" s="91"/>
      <c r="AF312" s="91"/>
      <c r="AG312" s="92"/>
      <c r="AH312" s="90"/>
      <c r="AI312" s="91"/>
      <c r="AJ312" s="91"/>
      <c r="AK312" s="91"/>
      <c r="AL312" s="91"/>
      <c r="AM312" s="206" t="s">
        <v>59</v>
      </c>
      <c r="AN312" s="392"/>
      <c r="AO312" s="392"/>
      <c r="AP312" s="392"/>
      <c r="AQ312" s="393"/>
      <c r="AU312" s="53"/>
      <c r="AV312" s="53"/>
      <c r="AW312" s="53"/>
    </row>
    <row r="313" spans="2:49" ht="13.5" thickBot="1" x14ac:dyDescent="0.25">
      <c r="B313" s="72"/>
      <c r="C313" s="85" t="s">
        <v>60</v>
      </c>
      <c r="D313" s="72"/>
      <c r="E313" s="93"/>
      <c r="F313" s="93"/>
      <c r="G313" s="93"/>
      <c r="H313" s="94"/>
      <c r="I313" s="72"/>
      <c r="J313" s="93"/>
      <c r="K313" s="93"/>
      <c r="L313" s="93"/>
      <c r="M313" s="94"/>
      <c r="N313" s="72"/>
      <c r="O313" s="93"/>
      <c r="P313" s="93"/>
      <c r="Q313" s="93"/>
      <c r="R313" s="94"/>
      <c r="S313" s="72"/>
      <c r="T313" s="93"/>
      <c r="U313" s="93"/>
      <c r="V313" s="93"/>
      <c r="W313" s="94"/>
      <c r="X313" s="72"/>
      <c r="Y313" s="93"/>
      <c r="Z313" s="93"/>
      <c r="AA313" s="93"/>
      <c r="AB313" s="94"/>
      <c r="AC313" s="72"/>
      <c r="AD313" s="93"/>
      <c r="AE313" s="93"/>
      <c r="AF313" s="93"/>
      <c r="AG313" s="94"/>
      <c r="AH313" s="72"/>
      <c r="AI313" s="93"/>
      <c r="AJ313" s="93"/>
      <c r="AK313" s="93"/>
      <c r="AL313" s="93"/>
      <c r="AM313" s="208" t="s">
        <v>60</v>
      </c>
      <c r="AN313" s="326"/>
      <c r="AO313" s="326"/>
      <c r="AP313" s="326"/>
      <c r="AQ313" s="327"/>
      <c r="AU313" s="53"/>
      <c r="AV313" s="53"/>
      <c r="AW313" s="53"/>
    </row>
    <row r="314" spans="2:49" x14ac:dyDescent="0.2">
      <c r="B314" s="68"/>
      <c r="C314" s="77" t="s">
        <v>59</v>
      </c>
      <c r="D314" s="90"/>
      <c r="E314" s="91"/>
      <c r="F314" s="91"/>
      <c r="G314" s="91"/>
      <c r="H314" s="92"/>
      <c r="I314" s="90"/>
      <c r="J314" s="91"/>
      <c r="K314" s="91"/>
      <c r="L314" s="91"/>
      <c r="M314" s="92"/>
      <c r="N314" s="90"/>
      <c r="O314" s="91"/>
      <c r="P314" s="91"/>
      <c r="Q314" s="91"/>
      <c r="R314" s="92"/>
      <c r="S314" s="90"/>
      <c r="T314" s="91"/>
      <c r="U314" s="91"/>
      <c r="V314" s="91"/>
      <c r="W314" s="92"/>
      <c r="X314" s="90"/>
      <c r="Y314" s="91"/>
      <c r="Z314" s="91"/>
      <c r="AA314" s="91"/>
      <c r="AB314" s="92"/>
      <c r="AC314" s="90"/>
      <c r="AD314" s="91"/>
      <c r="AE314" s="91"/>
      <c r="AF314" s="91"/>
      <c r="AG314" s="92"/>
      <c r="AH314" s="90"/>
      <c r="AI314" s="91"/>
      <c r="AJ314" s="91"/>
      <c r="AK314" s="91"/>
      <c r="AL314" s="91"/>
      <c r="AM314" s="206" t="s">
        <v>59</v>
      </c>
      <c r="AN314" s="392"/>
      <c r="AO314" s="392"/>
      <c r="AP314" s="392"/>
      <c r="AQ314" s="393"/>
      <c r="AU314" s="53"/>
      <c r="AV314" s="53"/>
      <c r="AW314" s="53"/>
    </row>
    <row r="315" spans="2:49" ht="13.5" thickBot="1" x14ac:dyDescent="0.25">
      <c r="B315" s="72"/>
      <c r="C315" s="85" t="s">
        <v>60</v>
      </c>
      <c r="D315" s="72"/>
      <c r="E315" s="93"/>
      <c r="F315" s="93"/>
      <c r="G315" s="93"/>
      <c r="H315" s="94"/>
      <c r="I315" s="72"/>
      <c r="J315" s="93"/>
      <c r="K315" s="93"/>
      <c r="L315" s="93"/>
      <c r="M315" s="94"/>
      <c r="N315" s="72"/>
      <c r="O315" s="93"/>
      <c r="P315" s="93"/>
      <c r="Q315" s="93"/>
      <c r="R315" s="94"/>
      <c r="S315" s="72"/>
      <c r="T315" s="93"/>
      <c r="U315" s="93"/>
      <c r="V315" s="93"/>
      <c r="W315" s="94"/>
      <c r="X315" s="72"/>
      <c r="Y315" s="93"/>
      <c r="Z315" s="93"/>
      <c r="AA315" s="93"/>
      <c r="AB315" s="94"/>
      <c r="AC315" s="72"/>
      <c r="AD315" s="93"/>
      <c r="AE315" s="93"/>
      <c r="AF315" s="93"/>
      <c r="AG315" s="94"/>
      <c r="AH315" s="72"/>
      <c r="AI315" s="93"/>
      <c r="AJ315" s="93"/>
      <c r="AK315" s="93"/>
      <c r="AL315" s="93"/>
      <c r="AM315" s="207" t="s">
        <v>60</v>
      </c>
      <c r="AN315" s="347"/>
      <c r="AO315" s="347"/>
      <c r="AP315" s="347"/>
      <c r="AQ315" s="348"/>
      <c r="AU315" s="53"/>
      <c r="AV315" s="53"/>
      <c r="AW315" s="53"/>
    </row>
    <row r="316" spans="2:49" x14ac:dyDescent="0.2">
      <c r="B316" s="68"/>
      <c r="C316" s="77" t="s">
        <v>59</v>
      </c>
      <c r="D316" s="90"/>
      <c r="E316" s="91"/>
      <c r="F316" s="91"/>
      <c r="G316" s="91"/>
      <c r="H316" s="92"/>
      <c r="I316" s="90"/>
      <c r="J316" s="91"/>
      <c r="K316" s="91"/>
      <c r="L316" s="91"/>
      <c r="M316" s="92"/>
      <c r="N316" s="90"/>
      <c r="O316" s="91"/>
      <c r="P316" s="91"/>
      <c r="Q316" s="91"/>
      <c r="R316" s="92"/>
      <c r="S316" s="90"/>
      <c r="T316" s="91"/>
      <c r="U316" s="91"/>
      <c r="V316" s="91"/>
      <c r="W316" s="92"/>
      <c r="X316" s="90"/>
      <c r="Y316" s="91"/>
      <c r="Z316" s="91"/>
      <c r="AA316" s="91"/>
      <c r="AB316" s="92"/>
      <c r="AC316" s="90"/>
      <c r="AD316" s="91"/>
      <c r="AE316" s="91"/>
      <c r="AF316" s="91"/>
      <c r="AG316" s="92"/>
      <c r="AH316" s="90"/>
      <c r="AI316" s="91"/>
      <c r="AJ316" s="91"/>
      <c r="AK316" s="91"/>
      <c r="AL316" s="91"/>
      <c r="AM316" s="206" t="s">
        <v>59</v>
      </c>
      <c r="AN316" s="392"/>
      <c r="AO316" s="392"/>
      <c r="AP316" s="392"/>
      <c r="AQ316" s="393"/>
      <c r="AU316" s="53"/>
      <c r="AV316" s="53"/>
      <c r="AW316" s="53"/>
    </row>
    <row r="317" spans="2:49" ht="13.5" thickBot="1" x14ac:dyDescent="0.25">
      <c r="B317" s="72"/>
      <c r="C317" s="85" t="s">
        <v>60</v>
      </c>
      <c r="D317" s="72"/>
      <c r="E317" s="93"/>
      <c r="F317" s="93"/>
      <c r="G317" s="93"/>
      <c r="H317" s="94"/>
      <c r="I317" s="72"/>
      <c r="J317" s="93"/>
      <c r="K317" s="93"/>
      <c r="L317" s="93"/>
      <c r="M317" s="94"/>
      <c r="N317" s="72"/>
      <c r="O317" s="93"/>
      <c r="P317" s="93"/>
      <c r="Q317" s="93"/>
      <c r="R317" s="94"/>
      <c r="S317" s="72"/>
      <c r="T317" s="93"/>
      <c r="U317" s="93"/>
      <c r="V317" s="93"/>
      <c r="W317" s="94"/>
      <c r="X317" s="72"/>
      <c r="Y317" s="93"/>
      <c r="Z317" s="93"/>
      <c r="AA317" s="93"/>
      <c r="AB317" s="94"/>
      <c r="AC317" s="72"/>
      <c r="AD317" s="93"/>
      <c r="AE317" s="93"/>
      <c r="AF317" s="93"/>
      <c r="AG317" s="94"/>
      <c r="AH317" s="72"/>
      <c r="AI317" s="93"/>
      <c r="AJ317" s="93"/>
      <c r="AK317" s="93"/>
      <c r="AL317" s="93"/>
      <c r="AM317" s="207" t="s">
        <v>60</v>
      </c>
      <c r="AN317" s="347"/>
      <c r="AO317" s="347"/>
      <c r="AP317" s="347"/>
      <c r="AQ317" s="348"/>
      <c r="AU317" s="53"/>
      <c r="AV317" s="53"/>
      <c r="AW317" s="53"/>
    </row>
    <row r="318" spans="2:49" ht="9.9499999999999993" customHeight="1" x14ac:dyDescent="0.2">
      <c r="B318" s="74"/>
      <c r="C318" s="74"/>
      <c r="D318" s="378" t="s">
        <v>61</v>
      </c>
      <c r="E318" s="379"/>
      <c r="F318" s="380"/>
      <c r="G318" s="384" t="s">
        <v>62</v>
      </c>
      <c r="H318" s="385"/>
      <c r="I318" s="385"/>
      <c r="J318" s="385"/>
      <c r="K318" s="385"/>
      <c r="L318" s="385"/>
      <c r="M318" s="385"/>
      <c r="N318" s="385"/>
      <c r="O318" s="386"/>
      <c r="P318" s="390" t="s">
        <v>56</v>
      </c>
      <c r="Q318" s="390" t="s">
        <v>63</v>
      </c>
      <c r="R318" s="67"/>
      <c r="S318" s="378" t="s">
        <v>61</v>
      </c>
      <c r="T318" s="379"/>
      <c r="U318" s="380"/>
      <c r="V318" s="384" t="s">
        <v>62</v>
      </c>
      <c r="W318" s="385"/>
      <c r="X318" s="385"/>
      <c r="Y318" s="385"/>
      <c r="Z318" s="385"/>
      <c r="AA318" s="385"/>
      <c r="AB318" s="385"/>
      <c r="AC318" s="385"/>
      <c r="AD318" s="386"/>
      <c r="AE318" s="390" t="s">
        <v>56</v>
      </c>
      <c r="AF318" s="390" t="s">
        <v>63</v>
      </c>
      <c r="AG318" s="95"/>
      <c r="AH318" s="96"/>
      <c r="AI318" s="96"/>
      <c r="AJ318" s="96"/>
      <c r="AK318" s="96"/>
      <c r="AL318" s="96"/>
      <c r="AM318" s="114"/>
      <c r="AN318" s="377" t="s">
        <v>1</v>
      </c>
      <c r="AO318" s="377"/>
      <c r="AP318" s="377" t="s">
        <v>2</v>
      </c>
      <c r="AQ318" s="377"/>
      <c r="AR318" s="97"/>
      <c r="AU318" s="53"/>
      <c r="AV318" s="53"/>
      <c r="AW318" s="53"/>
    </row>
    <row r="319" spans="2:49" ht="13.5" thickBot="1" x14ac:dyDescent="0.25">
      <c r="B319" s="74"/>
      <c r="C319" s="74"/>
      <c r="D319" s="381"/>
      <c r="E319" s="382"/>
      <c r="F319" s="383"/>
      <c r="G319" s="387"/>
      <c r="H319" s="388"/>
      <c r="I319" s="388"/>
      <c r="J319" s="388"/>
      <c r="K319" s="388"/>
      <c r="L319" s="388"/>
      <c r="M319" s="388"/>
      <c r="N319" s="388"/>
      <c r="O319" s="389"/>
      <c r="P319" s="391"/>
      <c r="Q319" s="391"/>
      <c r="R319" s="67"/>
      <c r="S319" s="381"/>
      <c r="T319" s="382"/>
      <c r="U319" s="383"/>
      <c r="V319" s="387"/>
      <c r="W319" s="388"/>
      <c r="X319" s="388"/>
      <c r="Y319" s="388"/>
      <c r="Z319" s="388"/>
      <c r="AA319" s="388"/>
      <c r="AB319" s="388"/>
      <c r="AC319" s="388"/>
      <c r="AD319" s="389"/>
      <c r="AE319" s="391"/>
      <c r="AF319" s="391"/>
      <c r="AG319" s="98"/>
      <c r="AH319" s="67"/>
      <c r="AI319" s="99" t="s">
        <v>64</v>
      </c>
      <c r="AJ319" s="99"/>
      <c r="AK319" s="99"/>
      <c r="AL319" s="99"/>
      <c r="AM319" s="99"/>
      <c r="AN319" s="99"/>
      <c r="AO319" s="100"/>
      <c r="AP319" s="100"/>
      <c r="AQ319" s="101"/>
      <c r="AR319" s="97"/>
      <c r="AU319" s="53"/>
      <c r="AV319" s="53"/>
      <c r="AW319" s="53"/>
    </row>
    <row r="320" spans="2:49" ht="13.5" customHeight="1" x14ac:dyDescent="0.2">
      <c r="B320" s="74"/>
      <c r="C320" s="74"/>
      <c r="D320" s="216"/>
      <c r="E320" s="209"/>
      <c r="F320" s="210"/>
      <c r="G320" s="211" t="s">
        <v>65</v>
      </c>
      <c r="H320" s="212"/>
      <c r="I320" s="212"/>
      <c r="J320" s="212"/>
      <c r="K320" s="212"/>
      <c r="L320" s="212"/>
      <c r="M320" s="212"/>
      <c r="N320" s="212"/>
      <c r="O320" s="213"/>
      <c r="P320" s="214"/>
      <c r="Q320" s="214"/>
      <c r="R320" s="215"/>
      <c r="S320" s="216"/>
      <c r="T320" s="209"/>
      <c r="U320" s="210"/>
      <c r="V320" s="211" t="s">
        <v>65</v>
      </c>
      <c r="W320" s="212"/>
      <c r="X320" s="212"/>
      <c r="Y320" s="212"/>
      <c r="Z320" s="212"/>
      <c r="AA320" s="212"/>
      <c r="AB320" s="212"/>
      <c r="AC320" s="212"/>
      <c r="AD320" s="213"/>
      <c r="AE320" s="214"/>
      <c r="AF320" s="214"/>
      <c r="AG320" s="365" t="s">
        <v>83</v>
      </c>
      <c r="AH320" s="366"/>
      <c r="AI320" s="366"/>
      <c r="AJ320" s="367"/>
      <c r="AK320" s="371" t="s">
        <v>66</v>
      </c>
      <c r="AL320" s="372"/>
      <c r="AM320" s="372"/>
      <c r="AN320" s="372"/>
      <c r="AO320" s="372"/>
      <c r="AP320" s="372"/>
      <c r="AQ320" s="373"/>
      <c r="AU320" s="53"/>
      <c r="AV320" s="53"/>
      <c r="AW320" s="53"/>
    </row>
    <row r="321" spans="2:49" ht="13.5" customHeight="1" thickBot="1" x14ac:dyDescent="0.25">
      <c r="B321" s="74"/>
      <c r="C321" s="74"/>
      <c r="D321" s="216"/>
      <c r="E321" s="209"/>
      <c r="F321" s="210"/>
      <c r="G321" s="217">
        <v>2</v>
      </c>
      <c r="H321" s="209"/>
      <c r="I321" s="209"/>
      <c r="J321" s="209"/>
      <c r="K321" s="209"/>
      <c r="L321" s="209"/>
      <c r="M321" s="209"/>
      <c r="N321" s="209"/>
      <c r="O321" s="210"/>
      <c r="P321" s="214"/>
      <c r="Q321" s="214"/>
      <c r="R321" s="215"/>
      <c r="S321" s="216"/>
      <c r="T321" s="209"/>
      <c r="U321" s="210"/>
      <c r="V321" s="217">
        <v>2</v>
      </c>
      <c r="W321" s="209"/>
      <c r="X321" s="209"/>
      <c r="Y321" s="209"/>
      <c r="Z321" s="209"/>
      <c r="AA321" s="209"/>
      <c r="AB321" s="209"/>
      <c r="AC321" s="209"/>
      <c r="AD321" s="210"/>
      <c r="AE321" s="214"/>
      <c r="AF321" s="214"/>
      <c r="AG321" s="368"/>
      <c r="AH321" s="369"/>
      <c r="AI321" s="369"/>
      <c r="AJ321" s="370"/>
      <c r="AK321" s="374"/>
      <c r="AL321" s="375"/>
      <c r="AM321" s="375"/>
      <c r="AN321" s="375"/>
      <c r="AO321" s="375"/>
      <c r="AP321" s="375"/>
      <c r="AQ321" s="376"/>
      <c r="AU321" s="53"/>
      <c r="AV321" s="53"/>
      <c r="AW321" s="53"/>
    </row>
    <row r="322" spans="2:49" ht="13.5" customHeight="1" x14ac:dyDescent="0.2">
      <c r="B322" s="74"/>
      <c r="C322" s="74"/>
      <c r="D322" s="216"/>
      <c r="E322" s="209"/>
      <c r="F322" s="210"/>
      <c r="G322" s="217">
        <v>3</v>
      </c>
      <c r="H322" s="209"/>
      <c r="I322" s="209"/>
      <c r="J322" s="209"/>
      <c r="K322" s="209"/>
      <c r="L322" s="209"/>
      <c r="M322" s="209"/>
      <c r="N322" s="209"/>
      <c r="O322" s="210"/>
      <c r="P322" s="214"/>
      <c r="Q322" s="214"/>
      <c r="R322" s="215"/>
      <c r="S322" s="216"/>
      <c r="T322" s="209"/>
      <c r="U322" s="210"/>
      <c r="V322" s="217">
        <v>3</v>
      </c>
      <c r="W322" s="209"/>
      <c r="X322" s="209"/>
      <c r="Y322" s="209"/>
      <c r="Z322" s="209"/>
      <c r="AA322" s="209"/>
      <c r="AB322" s="209"/>
      <c r="AC322" s="209"/>
      <c r="AD322" s="210"/>
      <c r="AE322" s="214"/>
      <c r="AF322" s="214"/>
      <c r="AG322" s="365" t="s">
        <v>2</v>
      </c>
      <c r="AH322" s="366"/>
      <c r="AI322" s="366"/>
      <c r="AJ322" s="367"/>
      <c r="AK322" s="371" t="s">
        <v>66</v>
      </c>
      <c r="AL322" s="372"/>
      <c r="AM322" s="372"/>
      <c r="AN322" s="372"/>
      <c r="AO322" s="372"/>
      <c r="AP322" s="372"/>
      <c r="AQ322" s="373"/>
      <c r="AU322" s="53"/>
      <c r="AV322" s="53"/>
      <c r="AW322" s="53"/>
    </row>
    <row r="323" spans="2:49" ht="13.5" customHeight="1" thickBot="1" x14ac:dyDescent="0.25">
      <c r="B323" s="74"/>
      <c r="C323" s="74"/>
      <c r="D323" s="216"/>
      <c r="E323" s="209"/>
      <c r="F323" s="210"/>
      <c r="G323" s="217">
        <v>4</v>
      </c>
      <c r="H323" s="209"/>
      <c r="I323" s="209"/>
      <c r="J323" s="209"/>
      <c r="K323" s="209"/>
      <c r="L323" s="209"/>
      <c r="M323" s="209"/>
      <c r="N323" s="209"/>
      <c r="O323" s="210"/>
      <c r="P323" s="214"/>
      <c r="Q323" s="214"/>
      <c r="R323" s="215"/>
      <c r="S323" s="216"/>
      <c r="T323" s="209"/>
      <c r="U323" s="210"/>
      <c r="V323" s="217">
        <v>4</v>
      </c>
      <c r="W323" s="209"/>
      <c r="X323" s="209"/>
      <c r="Y323" s="209"/>
      <c r="Z323" s="209"/>
      <c r="AA323" s="209"/>
      <c r="AB323" s="209"/>
      <c r="AC323" s="209"/>
      <c r="AD323" s="210"/>
      <c r="AE323" s="214"/>
      <c r="AF323" s="214"/>
      <c r="AG323" s="368"/>
      <c r="AH323" s="369"/>
      <c r="AI323" s="369"/>
      <c r="AJ323" s="370"/>
      <c r="AK323" s="374"/>
      <c r="AL323" s="375"/>
      <c r="AM323" s="375"/>
      <c r="AN323" s="375"/>
      <c r="AO323" s="375"/>
      <c r="AP323" s="375"/>
      <c r="AQ323" s="376"/>
      <c r="AU323" s="53"/>
      <c r="AV323" s="53"/>
      <c r="AW323" s="53"/>
    </row>
    <row r="324" spans="2:49" ht="13.5" customHeight="1" x14ac:dyDescent="0.2">
      <c r="B324" s="74"/>
      <c r="C324" s="74"/>
      <c r="D324" s="216"/>
      <c r="E324" s="209"/>
      <c r="F324" s="210"/>
      <c r="G324" s="217">
        <v>5</v>
      </c>
      <c r="H324" s="209"/>
      <c r="I324" s="209"/>
      <c r="J324" s="209"/>
      <c r="K324" s="209"/>
      <c r="L324" s="209"/>
      <c r="M324" s="209"/>
      <c r="N324" s="209"/>
      <c r="O324" s="210"/>
      <c r="P324" s="214"/>
      <c r="Q324" s="214"/>
      <c r="R324" s="215"/>
      <c r="S324" s="216"/>
      <c r="T324" s="209"/>
      <c r="U324" s="210"/>
      <c r="V324" s="217">
        <v>5</v>
      </c>
      <c r="W324" s="209"/>
      <c r="X324" s="209"/>
      <c r="Y324" s="209"/>
      <c r="Z324" s="209"/>
      <c r="AA324" s="209"/>
      <c r="AB324" s="209"/>
      <c r="AC324" s="209"/>
      <c r="AD324" s="210"/>
      <c r="AE324" s="214"/>
      <c r="AF324" s="214"/>
      <c r="AG324" s="102" t="s">
        <v>67</v>
      </c>
      <c r="AH324" s="70"/>
      <c r="AI324" s="70"/>
      <c r="AJ324" s="70"/>
      <c r="AK324" s="70"/>
      <c r="AL324" s="70"/>
      <c r="AM324" s="70"/>
      <c r="AN324" s="70"/>
      <c r="AO324" s="70" t="s">
        <v>68</v>
      </c>
      <c r="AP324" s="70"/>
      <c r="AQ324" s="79"/>
      <c r="AU324" s="53"/>
      <c r="AV324" s="53"/>
      <c r="AW324" s="53"/>
    </row>
    <row r="325" spans="2:49" ht="13.5" customHeight="1" x14ac:dyDescent="0.2">
      <c r="B325" s="74"/>
      <c r="C325" s="74"/>
      <c r="D325" s="216"/>
      <c r="E325" s="209"/>
      <c r="F325" s="210"/>
      <c r="G325" s="217">
        <v>6</v>
      </c>
      <c r="H325" s="209"/>
      <c r="I325" s="209"/>
      <c r="J325" s="209"/>
      <c r="K325" s="209"/>
      <c r="L325" s="209"/>
      <c r="M325" s="209"/>
      <c r="N325" s="209"/>
      <c r="O325" s="210"/>
      <c r="P325" s="214"/>
      <c r="Q325" s="214"/>
      <c r="R325" s="215"/>
      <c r="S325" s="216"/>
      <c r="T325" s="209"/>
      <c r="U325" s="210"/>
      <c r="V325" s="217">
        <v>6</v>
      </c>
      <c r="W325" s="209"/>
      <c r="X325" s="209"/>
      <c r="Y325" s="209"/>
      <c r="Z325" s="209"/>
      <c r="AA325" s="209"/>
      <c r="AB325" s="209"/>
      <c r="AC325" s="209"/>
      <c r="AD325" s="210"/>
      <c r="AE325" s="214"/>
      <c r="AF325" s="214"/>
      <c r="AG325" s="103"/>
      <c r="AH325" s="67"/>
      <c r="AI325" s="67"/>
      <c r="AJ325" s="67"/>
      <c r="AK325" s="67"/>
      <c r="AL325" s="67"/>
      <c r="AM325" s="67"/>
      <c r="AN325" s="67"/>
      <c r="AO325" s="67"/>
      <c r="AP325" s="67"/>
      <c r="AQ325" s="81"/>
      <c r="AU325" s="53"/>
      <c r="AV325" s="53"/>
      <c r="AW325" s="53"/>
    </row>
    <row r="326" spans="2:49" ht="13.5" customHeight="1" thickBot="1" x14ac:dyDescent="0.25">
      <c r="B326" s="74"/>
      <c r="C326" s="74"/>
      <c r="D326" s="216"/>
      <c r="E326" s="209"/>
      <c r="F326" s="210"/>
      <c r="G326" s="217">
        <v>7</v>
      </c>
      <c r="H326" s="209"/>
      <c r="I326" s="209"/>
      <c r="J326" s="209"/>
      <c r="K326" s="209"/>
      <c r="L326" s="209"/>
      <c r="M326" s="209"/>
      <c r="N326" s="209"/>
      <c r="O326" s="210"/>
      <c r="P326" s="214"/>
      <c r="Q326" s="214"/>
      <c r="R326" s="215"/>
      <c r="S326" s="216"/>
      <c r="T326" s="209"/>
      <c r="U326" s="210"/>
      <c r="V326" s="217">
        <v>7</v>
      </c>
      <c r="W326" s="209"/>
      <c r="X326" s="209"/>
      <c r="Y326" s="209"/>
      <c r="Z326" s="209"/>
      <c r="AA326" s="209"/>
      <c r="AB326" s="209"/>
      <c r="AC326" s="209"/>
      <c r="AD326" s="210"/>
      <c r="AE326" s="214"/>
      <c r="AF326" s="214"/>
      <c r="AG326" s="74" t="s">
        <v>69</v>
      </c>
      <c r="AH326" s="67"/>
      <c r="AI326" s="67"/>
      <c r="AJ326" s="67"/>
      <c r="AK326" s="67"/>
      <c r="AL326" s="67"/>
      <c r="AM326" s="67"/>
      <c r="AN326" s="67"/>
      <c r="AO326" s="67"/>
      <c r="AP326" s="67"/>
      <c r="AQ326" s="81"/>
      <c r="AU326" s="53"/>
      <c r="AV326" s="53"/>
      <c r="AW326" s="53"/>
    </row>
    <row r="327" spans="2:49" ht="13.5" customHeight="1" thickBot="1" x14ac:dyDescent="0.25">
      <c r="B327" s="74"/>
      <c r="C327" s="74"/>
      <c r="D327" s="222"/>
      <c r="E327" s="218"/>
      <c r="F327" s="219"/>
      <c r="G327" s="220">
        <v>8</v>
      </c>
      <c r="H327" s="218"/>
      <c r="I327" s="218"/>
      <c r="J327" s="218"/>
      <c r="K327" s="218"/>
      <c r="L327" s="218"/>
      <c r="M327" s="218"/>
      <c r="N327" s="218"/>
      <c r="O327" s="219"/>
      <c r="P327" s="221"/>
      <c r="Q327" s="221"/>
      <c r="R327" s="215"/>
      <c r="S327" s="222"/>
      <c r="T327" s="218"/>
      <c r="U327" s="219"/>
      <c r="V327" s="220">
        <v>8</v>
      </c>
      <c r="W327" s="218"/>
      <c r="X327" s="218"/>
      <c r="Y327" s="218"/>
      <c r="Z327" s="218"/>
      <c r="AA327" s="218"/>
      <c r="AB327" s="218"/>
      <c r="AC327" s="218"/>
      <c r="AD327" s="219"/>
      <c r="AE327" s="221"/>
      <c r="AF327" s="221"/>
      <c r="AG327" s="104" t="s">
        <v>70</v>
      </c>
      <c r="AH327" s="70"/>
      <c r="AI327" s="70"/>
      <c r="AJ327" s="70"/>
      <c r="AK327" s="70"/>
      <c r="AL327" s="70"/>
      <c r="AM327" s="70"/>
      <c r="AN327" s="70"/>
      <c r="AO327" s="70"/>
      <c r="AP327" s="70"/>
      <c r="AQ327" s="79"/>
      <c r="AU327" s="53"/>
      <c r="AV327" s="53"/>
      <c r="AW327" s="53"/>
    </row>
    <row r="328" spans="2:49" ht="13.5" customHeight="1" thickBot="1" x14ac:dyDescent="0.25">
      <c r="B328" s="74"/>
      <c r="C328" s="74"/>
      <c r="D328" s="89"/>
      <c r="E328" s="105"/>
      <c r="F328" s="105"/>
      <c r="G328" s="105"/>
      <c r="H328" s="105"/>
      <c r="I328" s="105"/>
      <c r="J328" s="106" t="s">
        <v>71</v>
      </c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7"/>
      <c r="AG328" s="84" t="s">
        <v>72</v>
      </c>
      <c r="AH328" s="67"/>
      <c r="AI328" s="67"/>
      <c r="AJ328" s="67"/>
      <c r="AK328" s="67"/>
      <c r="AL328" s="67"/>
      <c r="AM328" s="67"/>
      <c r="AN328" s="67"/>
      <c r="AO328" s="67"/>
      <c r="AP328" s="67"/>
      <c r="AQ328" s="81"/>
      <c r="AU328" s="53"/>
      <c r="AV328" s="53"/>
      <c r="AW328" s="53"/>
    </row>
    <row r="329" spans="2:49" ht="13.5" customHeight="1" thickBot="1" x14ac:dyDescent="0.25">
      <c r="B329" s="74"/>
      <c r="C329" s="74"/>
      <c r="D329" s="108" t="s">
        <v>73</v>
      </c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7"/>
      <c r="S329" s="108" t="s">
        <v>74</v>
      </c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7"/>
      <c r="AG329" s="109" t="s">
        <v>75</v>
      </c>
      <c r="AH329" s="110"/>
      <c r="AI329" s="110"/>
      <c r="AJ329" s="110"/>
      <c r="AK329" s="110"/>
      <c r="AL329" s="87"/>
      <c r="AM329" s="111" t="s">
        <v>76</v>
      </c>
      <c r="AN329" s="110"/>
      <c r="AO329" s="110"/>
      <c r="AP329" s="110"/>
      <c r="AQ329" s="87"/>
      <c r="AU329" s="53"/>
      <c r="AV329" s="53"/>
      <c r="AW329" s="53"/>
    </row>
    <row r="330" spans="2:49" ht="17.25" customHeight="1" thickBot="1" x14ac:dyDescent="0.25">
      <c r="B330" s="72"/>
      <c r="C330" s="72"/>
      <c r="D330" s="108" t="s">
        <v>77</v>
      </c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7"/>
      <c r="S330" s="108" t="s">
        <v>6</v>
      </c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7"/>
      <c r="AG330" s="112" t="s">
        <v>78</v>
      </c>
      <c r="AH330" s="73"/>
      <c r="AI330" s="73"/>
      <c r="AJ330" s="73"/>
      <c r="AK330" s="73"/>
      <c r="AL330" s="87"/>
      <c r="AM330" s="113" t="s">
        <v>79</v>
      </c>
      <c r="AN330" s="73"/>
      <c r="AO330" s="73"/>
      <c r="AP330" s="73"/>
      <c r="AQ330" s="87"/>
      <c r="AU330" s="53"/>
      <c r="AV330" s="53"/>
      <c r="AW330" s="53"/>
    </row>
    <row r="331" spans="2:49" ht="13.5" thickBot="1" x14ac:dyDescent="0.25">
      <c r="AU331" s="53"/>
      <c r="AV331" s="53"/>
      <c r="AW331" s="53"/>
    </row>
    <row r="332" spans="2:49" ht="17.25" customHeight="1" x14ac:dyDescent="0.25">
      <c r="B332" s="68"/>
      <c r="C332" s="68"/>
      <c r="D332" s="69" t="s">
        <v>44</v>
      </c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1" t="s">
        <v>89</v>
      </c>
      <c r="Z332" s="70"/>
      <c r="AA332" s="70"/>
      <c r="AB332" s="70"/>
      <c r="AC332" s="70"/>
      <c r="AD332" s="70"/>
      <c r="AE332" s="70"/>
      <c r="AF332" s="70"/>
      <c r="AG332" s="70"/>
      <c r="AH332" s="441" t="s">
        <v>45</v>
      </c>
      <c r="AI332" s="442"/>
      <c r="AJ332" s="442"/>
      <c r="AK332" s="442"/>
      <c r="AL332" s="442"/>
      <c r="AM332" s="443">
        <f>IF(($AU$9+10)&gt;$AX$9,"",VLOOKUP($AU$9+10,Spielplan,3,0))</f>
        <v>0.14583333333333331</v>
      </c>
      <c r="AN332" s="443"/>
      <c r="AO332" s="443"/>
      <c r="AP332" s="443"/>
      <c r="AQ332" s="444"/>
      <c r="AU332" s="53"/>
      <c r="AV332" s="53"/>
      <c r="AW332" s="53"/>
    </row>
    <row r="333" spans="2:49" ht="0.75" customHeight="1" thickBot="1" x14ac:dyDescent="0.25">
      <c r="B333" s="72"/>
      <c r="C333" s="72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4"/>
      <c r="AI333" s="67"/>
      <c r="AJ333" s="67"/>
      <c r="AK333" s="67"/>
      <c r="AL333" s="67"/>
      <c r="AM333" s="75"/>
      <c r="AN333" s="75"/>
      <c r="AO333" s="75"/>
      <c r="AP333" s="75"/>
      <c r="AQ333" s="76"/>
      <c r="AU333" s="53"/>
      <c r="AV333" s="53"/>
      <c r="AW333" s="53"/>
    </row>
    <row r="334" spans="2:49" ht="15" x14ac:dyDescent="0.25">
      <c r="B334" s="68"/>
      <c r="C334" s="77"/>
      <c r="D334" s="68"/>
      <c r="E334" s="78" t="s">
        <v>6</v>
      </c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9"/>
      <c r="S334" s="439" t="s">
        <v>46</v>
      </c>
      <c r="T334" s="440"/>
      <c r="U334" s="440"/>
      <c r="V334" s="440"/>
      <c r="W334" s="440"/>
      <c r="X334" s="440"/>
      <c r="Y334" s="366" t="str">
        <f>IF(($AU$9+10)&gt;$AX$9,"","SHTV")</f>
        <v>SHTV</v>
      </c>
      <c r="Z334" s="366"/>
      <c r="AA334" s="366"/>
      <c r="AB334" s="366"/>
      <c r="AC334" s="366"/>
      <c r="AD334" s="366"/>
      <c r="AE334" s="366"/>
      <c r="AF334" s="366"/>
      <c r="AG334" s="366"/>
      <c r="AH334" s="430" t="s">
        <v>47</v>
      </c>
      <c r="AI334" s="431"/>
      <c r="AJ334" s="431"/>
      <c r="AK334" s="431"/>
      <c r="AL334" s="431"/>
      <c r="AM334" s="434">
        <f>IF(($AU$9+10)&gt;$AX$9,"",VLOOKUP($AU$9+10,Spielplan,4,0))</f>
        <v>7</v>
      </c>
      <c r="AN334" s="435"/>
      <c r="AO334" s="435"/>
      <c r="AP334" s="435"/>
      <c r="AQ334" s="436"/>
      <c r="AU334" s="53"/>
      <c r="AV334" s="53"/>
      <c r="AW334" s="53"/>
    </row>
    <row r="335" spans="2:49" ht="9.9499999999999993" customHeight="1" x14ac:dyDescent="0.2">
      <c r="B335" s="74"/>
      <c r="C335" s="80"/>
      <c r="D335" s="74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81"/>
      <c r="S335" s="423"/>
      <c r="T335" s="406"/>
      <c r="U335" s="406"/>
      <c r="V335" s="406"/>
      <c r="W335" s="406"/>
      <c r="X335" s="406"/>
      <c r="Y335" s="425"/>
      <c r="Z335" s="425"/>
      <c r="AA335" s="425"/>
      <c r="AB335" s="425"/>
      <c r="AC335" s="425"/>
      <c r="AD335" s="425"/>
      <c r="AE335" s="425"/>
      <c r="AF335" s="425"/>
      <c r="AG335" s="425"/>
      <c r="AH335" s="432"/>
      <c r="AI335" s="433"/>
      <c r="AJ335" s="433"/>
      <c r="AK335" s="433"/>
      <c r="AL335" s="433"/>
      <c r="AM335" s="437"/>
      <c r="AN335" s="437"/>
      <c r="AO335" s="437"/>
      <c r="AP335" s="437"/>
      <c r="AQ335" s="438"/>
      <c r="AU335" s="53"/>
      <c r="AV335" s="53"/>
      <c r="AW335" s="53"/>
    </row>
    <row r="336" spans="2:49" ht="13.15" customHeight="1" x14ac:dyDescent="0.2">
      <c r="B336" s="74"/>
      <c r="C336" s="80"/>
      <c r="D336" s="74"/>
      <c r="E336" s="67" t="s">
        <v>48</v>
      </c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81"/>
      <c r="S336" s="422" t="s">
        <v>49</v>
      </c>
      <c r="T336" s="406"/>
      <c r="U336" s="406"/>
      <c r="V336" s="406"/>
      <c r="W336" s="406"/>
      <c r="X336" s="406"/>
      <c r="Y336" s="425">
        <f>IF(($AU$9+10)&gt;$AX$9,"",Platzierung!$U$3)</f>
        <v>0</v>
      </c>
      <c r="Z336" s="425"/>
      <c r="AA336" s="425"/>
      <c r="AB336" s="425"/>
      <c r="AC336" s="425"/>
      <c r="AD336" s="425"/>
      <c r="AE336" s="425"/>
      <c r="AF336" s="425"/>
      <c r="AG336" s="425"/>
      <c r="AH336" s="430" t="s">
        <v>50</v>
      </c>
      <c r="AI336" s="431"/>
      <c r="AJ336" s="431"/>
      <c r="AK336" s="431"/>
      <c r="AL336" s="431"/>
      <c r="AM336" s="434">
        <f>IF(($AU$9+10)&gt;$AX$9,"",VLOOKUP($AU$9+10,Spielplan,6,0))</f>
        <v>11</v>
      </c>
      <c r="AN336" s="435"/>
      <c r="AO336" s="435"/>
      <c r="AP336" s="435"/>
      <c r="AQ336" s="436"/>
      <c r="AU336" s="53"/>
      <c r="AV336" s="53"/>
      <c r="AW336" s="53"/>
    </row>
    <row r="337" spans="2:49" ht="9.9499999999999993" customHeight="1" x14ac:dyDescent="0.2">
      <c r="B337" s="74"/>
      <c r="C337" s="80"/>
      <c r="D337" s="74"/>
      <c r="E337" s="67"/>
      <c r="F337" s="67"/>
      <c r="G337" s="67"/>
      <c r="H337" s="67"/>
      <c r="I337" s="67"/>
      <c r="J337" s="82" t="s">
        <v>51</v>
      </c>
      <c r="K337" s="67"/>
      <c r="L337" s="67"/>
      <c r="M337" s="67"/>
      <c r="N337" s="67"/>
      <c r="O337" s="67"/>
      <c r="P337" s="67"/>
      <c r="Q337" s="67"/>
      <c r="R337" s="81"/>
      <c r="S337" s="423"/>
      <c r="T337" s="406"/>
      <c r="U337" s="406"/>
      <c r="V337" s="406"/>
      <c r="W337" s="406"/>
      <c r="X337" s="406"/>
      <c r="Y337" s="425"/>
      <c r="Z337" s="425"/>
      <c r="AA337" s="425"/>
      <c r="AB337" s="425"/>
      <c r="AC337" s="425"/>
      <c r="AD337" s="425"/>
      <c r="AE337" s="425"/>
      <c r="AF337" s="425"/>
      <c r="AG337" s="425"/>
      <c r="AH337" s="432"/>
      <c r="AI337" s="433"/>
      <c r="AJ337" s="433"/>
      <c r="AK337" s="433"/>
      <c r="AL337" s="433"/>
      <c r="AM337" s="437"/>
      <c r="AN337" s="437"/>
      <c r="AO337" s="437"/>
      <c r="AP337" s="437"/>
      <c r="AQ337" s="438"/>
      <c r="AU337" s="53"/>
      <c r="AV337" s="53"/>
      <c r="AW337" s="53"/>
    </row>
    <row r="338" spans="2:49" ht="15.75" customHeight="1" x14ac:dyDescent="0.2">
      <c r="B338" s="74"/>
      <c r="C338" s="80"/>
      <c r="D338" s="418">
        <f>IF(($AU$9+10)&gt;$AX$9,"",VLOOKUP($AU$9+10,Spielplan,10,0))</f>
        <v>0</v>
      </c>
      <c r="E338" s="419"/>
      <c r="F338" s="419"/>
      <c r="G338" s="419"/>
      <c r="H338" s="419"/>
      <c r="I338" s="419"/>
      <c r="J338" s="419"/>
      <c r="K338" s="419"/>
      <c r="L338" s="419"/>
      <c r="M338" s="419"/>
      <c r="N338" s="419"/>
      <c r="O338" s="419"/>
      <c r="P338" s="419"/>
      <c r="Q338" s="419"/>
      <c r="R338" s="420"/>
      <c r="S338" s="422" t="s">
        <v>52</v>
      </c>
      <c r="T338" s="406"/>
      <c r="U338" s="406"/>
      <c r="V338" s="406"/>
      <c r="W338" s="406"/>
      <c r="X338" s="406"/>
      <c r="Y338" s="424">
        <f>IF(($AU$9+10)&gt;$AX$9,"",VLOOKUP($AU$9+10,Spielplan,2,0))</f>
        <v>0</v>
      </c>
      <c r="Z338" s="425"/>
      <c r="AA338" s="425"/>
      <c r="AB338" s="425"/>
      <c r="AC338" s="425"/>
      <c r="AD338" s="425"/>
      <c r="AE338" s="425"/>
      <c r="AF338" s="425"/>
      <c r="AG338" s="425"/>
      <c r="AH338" s="405" t="s">
        <v>53</v>
      </c>
      <c r="AI338" s="406"/>
      <c r="AJ338" s="406"/>
      <c r="AK338" s="406"/>
      <c r="AL338" s="406"/>
      <c r="AM338" s="400">
        <f>IF(($AU$9+10)&gt;$AX$9,"",VLOOKUP($AU$9+10,Spielplan,5,0))</f>
        <v>1</v>
      </c>
      <c r="AN338" s="401"/>
      <c r="AO338" s="401"/>
      <c r="AP338" s="401"/>
      <c r="AQ338" s="402"/>
      <c r="AU338" s="53"/>
      <c r="AV338" s="53"/>
      <c r="AW338" s="53"/>
    </row>
    <row r="339" spans="2:49" ht="11.1" customHeight="1" thickBot="1" x14ac:dyDescent="0.25">
      <c r="B339" s="74"/>
      <c r="C339" s="80"/>
      <c r="D339" s="421"/>
      <c r="E339" s="419"/>
      <c r="F339" s="419"/>
      <c r="G339" s="419"/>
      <c r="H339" s="419"/>
      <c r="I339" s="419"/>
      <c r="J339" s="419"/>
      <c r="K339" s="419"/>
      <c r="L339" s="419"/>
      <c r="M339" s="419"/>
      <c r="N339" s="419"/>
      <c r="O339" s="419"/>
      <c r="P339" s="419"/>
      <c r="Q339" s="419"/>
      <c r="R339" s="420"/>
      <c r="S339" s="423"/>
      <c r="T339" s="406"/>
      <c r="U339" s="406"/>
      <c r="V339" s="406"/>
      <c r="W339" s="406"/>
      <c r="X339" s="406"/>
      <c r="Y339" s="425"/>
      <c r="Z339" s="425"/>
      <c r="AA339" s="425"/>
      <c r="AB339" s="425"/>
      <c r="AC339" s="425"/>
      <c r="AD339" s="425"/>
      <c r="AE339" s="425"/>
      <c r="AF339" s="425"/>
      <c r="AG339" s="425"/>
      <c r="AH339" s="407"/>
      <c r="AI339" s="408"/>
      <c r="AJ339" s="408"/>
      <c r="AK339" s="408"/>
      <c r="AL339" s="408"/>
      <c r="AM339" s="403"/>
      <c r="AN339" s="403"/>
      <c r="AO339" s="403"/>
      <c r="AP339" s="403"/>
      <c r="AQ339" s="404"/>
      <c r="AU339" s="53"/>
      <c r="AV339" s="53"/>
      <c r="AW339" s="53"/>
    </row>
    <row r="340" spans="2:49" ht="11.1" customHeight="1" thickBot="1" x14ac:dyDescent="0.25">
      <c r="B340" s="74"/>
      <c r="C340" s="80"/>
      <c r="D340" s="72"/>
      <c r="E340" s="73"/>
      <c r="F340" s="73"/>
      <c r="G340" s="73"/>
      <c r="H340" s="73"/>
      <c r="I340" s="73"/>
      <c r="J340" s="73" t="s">
        <v>54</v>
      </c>
      <c r="K340" s="73"/>
      <c r="L340" s="73"/>
      <c r="M340" s="73"/>
      <c r="N340" s="73"/>
      <c r="O340" s="67"/>
      <c r="P340" s="67"/>
      <c r="Q340" s="73"/>
      <c r="R340" s="83"/>
      <c r="S340" s="74"/>
      <c r="T340" s="67"/>
      <c r="U340" s="67"/>
      <c r="V340" s="67"/>
      <c r="W340" s="67"/>
      <c r="X340" s="67"/>
      <c r="Y340" s="409"/>
      <c r="Z340" s="409"/>
      <c r="AA340" s="409"/>
      <c r="AB340" s="409"/>
      <c r="AC340" s="409"/>
      <c r="AD340" s="409"/>
      <c r="AE340" s="409"/>
      <c r="AF340" s="410"/>
      <c r="AG340" s="411"/>
      <c r="AH340" s="84" t="s">
        <v>55</v>
      </c>
      <c r="AI340" s="67"/>
      <c r="AJ340" s="67"/>
      <c r="AK340" s="67"/>
      <c r="AL340" s="67"/>
      <c r="AM340" s="67"/>
      <c r="AN340" s="67"/>
      <c r="AO340" s="85"/>
      <c r="AP340" s="67"/>
      <c r="AQ340" s="81"/>
      <c r="AU340" s="53"/>
      <c r="AV340" s="53"/>
      <c r="AW340" s="53"/>
    </row>
    <row r="341" spans="2:49" ht="13.5" customHeight="1" thickBot="1" x14ac:dyDescent="0.3">
      <c r="B341" s="74"/>
      <c r="C341" s="80"/>
      <c r="D341" s="68"/>
      <c r="E341" s="78" t="s">
        <v>8</v>
      </c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412" t="s">
        <v>56</v>
      </c>
      <c r="R341" s="68"/>
      <c r="S341" s="68"/>
      <c r="T341" s="78" t="s">
        <v>7</v>
      </c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9"/>
      <c r="AF341" s="415" t="s">
        <v>56</v>
      </c>
      <c r="AG341" s="74"/>
      <c r="AH341" s="86" t="s">
        <v>57</v>
      </c>
      <c r="AI341" s="73"/>
      <c r="AJ341" s="73"/>
      <c r="AK341" s="73"/>
      <c r="AL341" s="73"/>
      <c r="AM341" s="73"/>
      <c r="AN341" s="73"/>
      <c r="AO341" s="87"/>
      <c r="AP341" s="67"/>
      <c r="AQ341" s="81"/>
      <c r="AU341" s="53"/>
      <c r="AV341" s="53"/>
      <c r="AW341" s="53"/>
    </row>
    <row r="342" spans="2:49" ht="12" customHeight="1" thickBot="1" x14ac:dyDescent="0.25">
      <c r="B342" s="74"/>
      <c r="C342" s="80"/>
      <c r="D342" s="418">
        <f>IF(($AU$9+10)&gt;$AX$9,"",VLOOKUP($AU$9+10,Spielplan,7,0))</f>
        <v>0</v>
      </c>
      <c r="E342" s="419"/>
      <c r="F342" s="419"/>
      <c r="G342" s="419"/>
      <c r="H342" s="419"/>
      <c r="I342" s="419"/>
      <c r="J342" s="419"/>
      <c r="K342" s="419"/>
      <c r="L342" s="419"/>
      <c r="M342" s="419"/>
      <c r="N342" s="419"/>
      <c r="O342" s="419"/>
      <c r="P342" s="420"/>
      <c r="Q342" s="413"/>
      <c r="R342" s="74"/>
      <c r="S342" s="418">
        <f>IF(($AU$9+10)&gt;$AX$9,"",VLOOKUP($AU$9+10,Spielplan,9,0))</f>
        <v>0</v>
      </c>
      <c r="T342" s="419"/>
      <c r="U342" s="419"/>
      <c r="V342" s="419"/>
      <c r="W342" s="419"/>
      <c r="X342" s="419"/>
      <c r="Y342" s="419"/>
      <c r="Z342" s="419"/>
      <c r="AA342" s="419"/>
      <c r="AB342" s="419"/>
      <c r="AC342" s="419"/>
      <c r="AD342" s="419"/>
      <c r="AE342" s="429"/>
      <c r="AF342" s="416"/>
      <c r="AG342" s="74"/>
      <c r="AH342" s="394" t="s">
        <v>58</v>
      </c>
      <c r="AI342" s="395"/>
      <c r="AJ342" s="395"/>
      <c r="AK342" s="395"/>
      <c r="AL342" s="395"/>
      <c r="AM342" s="396"/>
      <c r="AN342" s="88" t="s">
        <v>59</v>
      </c>
      <c r="AO342" s="89"/>
      <c r="AP342" s="89"/>
      <c r="AQ342" s="87"/>
      <c r="AU342" s="53"/>
      <c r="AV342" s="53"/>
      <c r="AW342" s="53"/>
    </row>
    <row r="343" spans="2:49" ht="12" customHeight="1" thickBot="1" x14ac:dyDescent="0.25">
      <c r="B343" s="72"/>
      <c r="C343" s="85"/>
      <c r="D343" s="426"/>
      <c r="E343" s="427"/>
      <c r="F343" s="427"/>
      <c r="G343" s="427"/>
      <c r="H343" s="427"/>
      <c r="I343" s="427"/>
      <c r="J343" s="427"/>
      <c r="K343" s="427"/>
      <c r="L343" s="427"/>
      <c r="M343" s="427"/>
      <c r="N343" s="427"/>
      <c r="O343" s="427"/>
      <c r="P343" s="428"/>
      <c r="Q343" s="414"/>
      <c r="R343" s="72"/>
      <c r="S343" s="426"/>
      <c r="T343" s="427"/>
      <c r="U343" s="427"/>
      <c r="V343" s="427"/>
      <c r="W343" s="427"/>
      <c r="X343" s="427"/>
      <c r="Y343" s="427"/>
      <c r="Z343" s="427"/>
      <c r="AA343" s="427"/>
      <c r="AB343" s="427"/>
      <c r="AC343" s="427"/>
      <c r="AD343" s="427"/>
      <c r="AE343" s="389"/>
      <c r="AF343" s="417"/>
      <c r="AG343" s="72"/>
      <c r="AH343" s="397"/>
      <c r="AI343" s="398"/>
      <c r="AJ343" s="398"/>
      <c r="AK343" s="398"/>
      <c r="AL343" s="398"/>
      <c r="AM343" s="399"/>
      <c r="AN343" s="88" t="s">
        <v>60</v>
      </c>
      <c r="AO343" s="89"/>
      <c r="AP343" s="89"/>
      <c r="AQ343" s="87"/>
      <c r="AU343" s="53"/>
      <c r="AV343" s="53"/>
      <c r="AW343" s="53"/>
    </row>
    <row r="344" spans="2:49" ht="9.9499999999999993" customHeight="1" thickBot="1" x14ac:dyDescent="0.25">
      <c r="B344" s="74"/>
      <c r="C344" s="7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81"/>
      <c r="AU344" s="53"/>
      <c r="AV344" s="53"/>
      <c r="AW344" s="53"/>
    </row>
    <row r="345" spans="2:49" x14ac:dyDescent="0.2">
      <c r="B345" s="68"/>
      <c r="C345" s="77" t="s">
        <v>59</v>
      </c>
      <c r="D345" s="90"/>
      <c r="E345" s="91"/>
      <c r="F345" s="91"/>
      <c r="G345" s="91"/>
      <c r="H345" s="92"/>
      <c r="I345" s="90"/>
      <c r="J345" s="91"/>
      <c r="K345" s="91"/>
      <c r="L345" s="91"/>
      <c r="M345" s="92"/>
      <c r="N345" s="90"/>
      <c r="O345" s="91"/>
      <c r="P345" s="91"/>
      <c r="Q345" s="91"/>
      <c r="R345" s="92"/>
      <c r="S345" s="90"/>
      <c r="T345" s="91"/>
      <c r="U345" s="91"/>
      <c r="V345" s="91"/>
      <c r="W345" s="92"/>
      <c r="X345" s="90"/>
      <c r="Y345" s="91"/>
      <c r="Z345" s="91"/>
      <c r="AA345" s="91"/>
      <c r="AB345" s="92"/>
      <c r="AC345" s="90"/>
      <c r="AD345" s="91"/>
      <c r="AE345" s="91"/>
      <c r="AF345" s="91"/>
      <c r="AG345" s="92"/>
      <c r="AH345" s="90"/>
      <c r="AI345" s="91"/>
      <c r="AJ345" s="91"/>
      <c r="AK345" s="91"/>
      <c r="AL345" s="91"/>
      <c r="AM345" s="206" t="s">
        <v>59</v>
      </c>
      <c r="AN345" s="392"/>
      <c r="AO345" s="392"/>
      <c r="AP345" s="392"/>
      <c r="AQ345" s="393"/>
      <c r="AU345" s="53"/>
      <c r="AV345" s="53"/>
      <c r="AW345" s="53"/>
    </row>
    <row r="346" spans="2:49" ht="13.5" thickBot="1" x14ac:dyDescent="0.25">
      <c r="B346" s="72"/>
      <c r="C346" s="85" t="s">
        <v>60</v>
      </c>
      <c r="D346" s="72"/>
      <c r="E346" s="93"/>
      <c r="F346" s="93"/>
      <c r="G346" s="93"/>
      <c r="H346" s="94"/>
      <c r="I346" s="72"/>
      <c r="J346" s="93"/>
      <c r="K346" s="93"/>
      <c r="L346" s="93"/>
      <c r="M346" s="94"/>
      <c r="N346" s="72"/>
      <c r="O346" s="93"/>
      <c r="P346" s="93"/>
      <c r="Q346" s="93"/>
      <c r="R346" s="94"/>
      <c r="S346" s="72"/>
      <c r="T346" s="93"/>
      <c r="U346" s="93"/>
      <c r="V346" s="93"/>
      <c r="W346" s="94"/>
      <c r="X346" s="72"/>
      <c r="Y346" s="93"/>
      <c r="Z346" s="93"/>
      <c r="AA346" s="93"/>
      <c r="AB346" s="94"/>
      <c r="AC346" s="72"/>
      <c r="AD346" s="93"/>
      <c r="AE346" s="93"/>
      <c r="AF346" s="93"/>
      <c r="AG346" s="94"/>
      <c r="AH346" s="72"/>
      <c r="AI346" s="93"/>
      <c r="AJ346" s="93"/>
      <c r="AK346" s="93"/>
      <c r="AL346" s="93"/>
      <c r="AM346" s="208" t="s">
        <v>60</v>
      </c>
      <c r="AN346" s="326"/>
      <c r="AO346" s="326"/>
      <c r="AP346" s="326"/>
      <c r="AQ346" s="327"/>
      <c r="AU346" s="53"/>
      <c r="AV346" s="53"/>
      <c r="AW346" s="53"/>
    </row>
    <row r="347" spans="2:49" x14ac:dyDescent="0.2">
      <c r="B347" s="68"/>
      <c r="C347" s="77" t="s">
        <v>59</v>
      </c>
      <c r="D347" s="90"/>
      <c r="E347" s="91"/>
      <c r="F347" s="91"/>
      <c r="G347" s="91"/>
      <c r="H347" s="92"/>
      <c r="I347" s="90"/>
      <c r="J347" s="91"/>
      <c r="K347" s="91"/>
      <c r="L347" s="91"/>
      <c r="M347" s="92"/>
      <c r="N347" s="90"/>
      <c r="O347" s="91"/>
      <c r="P347" s="91"/>
      <c r="Q347" s="91"/>
      <c r="R347" s="92"/>
      <c r="S347" s="90"/>
      <c r="T347" s="91"/>
      <c r="U347" s="91"/>
      <c r="V347" s="91"/>
      <c r="W347" s="92"/>
      <c r="X347" s="90"/>
      <c r="Y347" s="91"/>
      <c r="Z347" s="91"/>
      <c r="AA347" s="91"/>
      <c r="AB347" s="92"/>
      <c r="AC347" s="90"/>
      <c r="AD347" s="91"/>
      <c r="AE347" s="91"/>
      <c r="AF347" s="91"/>
      <c r="AG347" s="92"/>
      <c r="AH347" s="90"/>
      <c r="AI347" s="91"/>
      <c r="AJ347" s="91"/>
      <c r="AK347" s="91"/>
      <c r="AL347" s="91"/>
      <c r="AM347" s="206" t="s">
        <v>59</v>
      </c>
      <c r="AN347" s="392"/>
      <c r="AO347" s="392"/>
      <c r="AP347" s="392"/>
      <c r="AQ347" s="393"/>
      <c r="AU347" s="53"/>
      <c r="AV347" s="53"/>
      <c r="AW347" s="53"/>
    </row>
    <row r="348" spans="2:49" ht="13.5" thickBot="1" x14ac:dyDescent="0.25">
      <c r="B348" s="72"/>
      <c r="C348" s="85" t="s">
        <v>60</v>
      </c>
      <c r="D348" s="72"/>
      <c r="E348" s="93"/>
      <c r="F348" s="93"/>
      <c r="G348" s="93"/>
      <c r="H348" s="94"/>
      <c r="I348" s="72"/>
      <c r="J348" s="93"/>
      <c r="K348" s="93"/>
      <c r="L348" s="93"/>
      <c r="M348" s="94"/>
      <c r="N348" s="72"/>
      <c r="O348" s="93"/>
      <c r="P348" s="93"/>
      <c r="Q348" s="93"/>
      <c r="R348" s="94"/>
      <c r="S348" s="72"/>
      <c r="T348" s="93"/>
      <c r="U348" s="93"/>
      <c r="V348" s="93"/>
      <c r="W348" s="94"/>
      <c r="X348" s="72"/>
      <c r="Y348" s="93"/>
      <c r="Z348" s="93"/>
      <c r="AA348" s="93"/>
      <c r="AB348" s="94"/>
      <c r="AC348" s="72"/>
      <c r="AD348" s="93"/>
      <c r="AE348" s="93"/>
      <c r="AF348" s="93"/>
      <c r="AG348" s="94"/>
      <c r="AH348" s="72"/>
      <c r="AI348" s="93"/>
      <c r="AJ348" s="93"/>
      <c r="AK348" s="93"/>
      <c r="AL348" s="93"/>
      <c r="AM348" s="207" t="s">
        <v>60</v>
      </c>
      <c r="AN348" s="347"/>
      <c r="AO348" s="347"/>
      <c r="AP348" s="347"/>
      <c r="AQ348" s="348"/>
      <c r="AU348" s="53"/>
      <c r="AV348" s="53"/>
      <c r="AW348" s="53"/>
    </row>
    <row r="349" spans="2:49" x14ac:dyDescent="0.2">
      <c r="B349" s="68"/>
      <c r="C349" s="77" t="s">
        <v>59</v>
      </c>
      <c r="D349" s="90"/>
      <c r="E349" s="91"/>
      <c r="F349" s="91"/>
      <c r="G349" s="91"/>
      <c r="H349" s="92"/>
      <c r="I349" s="90"/>
      <c r="J349" s="91"/>
      <c r="K349" s="91"/>
      <c r="L349" s="91"/>
      <c r="M349" s="92"/>
      <c r="N349" s="90"/>
      <c r="O349" s="91"/>
      <c r="P349" s="91"/>
      <c r="Q349" s="91"/>
      <c r="R349" s="92"/>
      <c r="S349" s="90"/>
      <c r="T349" s="91"/>
      <c r="U349" s="91"/>
      <c r="V349" s="91"/>
      <c r="W349" s="92"/>
      <c r="X349" s="90"/>
      <c r="Y349" s="91"/>
      <c r="Z349" s="91"/>
      <c r="AA349" s="91"/>
      <c r="AB349" s="92"/>
      <c r="AC349" s="90"/>
      <c r="AD349" s="91"/>
      <c r="AE349" s="91"/>
      <c r="AF349" s="91"/>
      <c r="AG349" s="92"/>
      <c r="AH349" s="90"/>
      <c r="AI349" s="91"/>
      <c r="AJ349" s="91"/>
      <c r="AK349" s="91"/>
      <c r="AL349" s="91"/>
      <c r="AM349" s="206" t="s">
        <v>59</v>
      </c>
      <c r="AN349" s="392"/>
      <c r="AO349" s="392"/>
      <c r="AP349" s="392"/>
      <c r="AQ349" s="393"/>
      <c r="AU349" s="53"/>
      <c r="AV349" s="53"/>
      <c r="AW349" s="53"/>
    </row>
    <row r="350" spans="2:49" ht="13.5" thickBot="1" x14ac:dyDescent="0.25">
      <c r="B350" s="72"/>
      <c r="C350" s="85" t="s">
        <v>60</v>
      </c>
      <c r="D350" s="72"/>
      <c r="E350" s="93"/>
      <c r="F350" s="93"/>
      <c r="G350" s="93"/>
      <c r="H350" s="94"/>
      <c r="I350" s="72"/>
      <c r="J350" s="93"/>
      <c r="K350" s="93"/>
      <c r="L350" s="93"/>
      <c r="M350" s="94"/>
      <c r="N350" s="72"/>
      <c r="O350" s="93"/>
      <c r="P350" s="93"/>
      <c r="Q350" s="93"/>
      <c r="R350" s="94"/>
      <c r="S350" s="72"/>
      <c r="T350" s="93"/>
      <c r="U350" s="93"/>
      <c r="V350" s="93"/>
      <c r="W350" s="94"/>
      <c r="X350" s="72"/>
      <c r="Y350" s="93"/>
      <c r="Z350" s="93"/>
      <c r="AA350" s="93"/>
      <c r="AB350" s="94"/>
      <c r="AC350" s="72"/>
      <c r="AD350" s="93"/>
      <c r="AE350" s="93"/>
      <c r="AF350" s="93"/>
      <c r="AG350" s="94"/>
      <c r="AH350" s="72"/>
      <c r="AI350" s="93"/>
      <c r="AJ350" s="93"/>
      <c r="AK350" s="93"/>
      <c r="AL350" s="93"/>
      <c r="AM350" s="207" t="s">
        <v>60</v>
      </c>
      <c r="AN350" s="347"/>
      <c r="AO350" s="347"/>
      <c r="AP350" s="347"/>
      <c r="AQ350" s="348"/>
      <c r="AU350" s="53"/>
      <c r="AV350" s="53"/>
      <c r="AW350" s="53"/>
    </row>
    <row r="351" spans="2:49" ht="9.9499999999999993" customHeight="1" x14ac:dyDescent="0.2">
      <c r="B351" s="74"/>
      <c r="C351" s="74"/>
      <c r="D351" s="378" t="s">
        <v>61</v>
      </c>
      <c r="E351" s="379"/>
      <c r="F351" s="380"/>
      <c r="G351" s="384" t="s">
        <v>62</v>
      </c>
      <c r="H351" s="385"/>
      <c r="I351" s="385"/>
      <c r="J351" s="385"/>
      <c r="K351" s="385"/>
      <c r="L351" s="385"/>
      <c r="M351" s="385"/>
      <c r="N351" s="385"/>
      <c r="O351" s="386"/>
      <c r="P351" s="390" t="s">
        <v>56</v>
      </c>
      <c r="Q351" s="390" t="s">
        <v>63</v>
      </c>
      <c r="R351" s="67"/>
      <c r="S351" s="378" t="s">
        <v>61</v>
      </c>
      <c r="T351" s="379"/>
      <c r="U351" s="380"/>
      <c r="V351" s="384" t="s">
        <v>62</v>
      </c>
      <c r="W351" s="385"/>
      <c r="X351" s="385"/>
      <c r="Y351" s="385"/>
      <c r="Z351" s="385"/>
      <c r="AA351" s="385"/>
      <c r="AB351" s="385"/>
      <c r="AC351" s="385"/>
      <c r="AD351" s="386"/>
      <c r="AE351" s="390" t="s">
        <v>56</v>
      </c>
      <c r="AF351" s="390" t="s">
        <v>63</v>
      </c>
      <c r="AG351" s="95"/>
      <c r="AH351" s="96"/>
      <c r="AI351" s="96"/>
      <c r="AJ351" s="96"/>
      <c r="AK351" s="96"/>
      <c r="AL351" s="96"/>
      <c r="AM351" s="114"/>
      <c r="AN351" s="377" t="s">
        <v>1</v>
      </c>
      <c r="AO351" s="377"/>
      <c r="AP351" s="377" t="s">
        <v>2</v>
      </c>
      <c r="AQ351" s="377"/>
      <c r="AR351" s="97"/>
      <c r="AU351" s="53"/>
      <c r="AV351" s="53"/>
      <c r="AW351" s="53"/>
    </row>
    <row r="352" spans="2:49" ht="13.5" thickBot="1" x14ac:dyDescent="0.25">
      <c r="B352" s="74"/>
      <c r="C352" s="74"/>
      <c r="D352" s="381"/>
      <c r="E352" s="382"/>
      <c r="F352" s="383"/>
      <c r="G352" s="387"/>
      <c r="H352" s="388"/>
      <c r="I352" s="388"/>
      <c r="J352" s="388"/>
      <c r="K352" s="388"/>
      <c r="L352" s="388"/>
      <c r="M352" s="388"/>
      <c r="N352" s="388"/>
      <c r="O352" s="389"/>
      <c r="P352" s="391"/>
      <c r="Q352" s="391"/>
      <c r="R352" s="67"/>
      <c r="S352" s="381"/>
      <c r="T352" s="382"/>
      <c r="U352" s="383"/>
      <c r="V352" s="387"/>
      <c r="W352" s="388"/>
      <c r="X352" s="388"/>
      <c r="Y352" s="388"/>
      <c r="Z352" s="388"/>
      <c r="AA352" s="388"/>
      <c r="AB352" s="388"/>
      <c r="AC352" s="388"/>
      <c r="AD352" s="389"/>
      <c r="AE352" s="391"/>
      <c r="AF352" s="391"/>
      <c r="AG352" s="98"/>
      <c r="AH352" s="67"/>
      <c r="AI352" s="99" t="s">
        <v>64</v>
      </c>
      <c r="AJ352" s="99"/>
      <c r="AK352" s="99"/>
      <c r="AL352" s="99"/>
      <c r="AM352" s="99"/>
      <c r="AN352" s="99"/>
      <c r="AO352" s="100"/>
      <c r="AP352" s="100"/>
      <c r="AQ352" s="101"/>
      <c r="AR352" s="97"/>
      <c r="AU352" s="53"/>
      <c r="AV352" s="53"/>
      <c r="AW352" s="53"/>
    </row>
    <row r="353" spans="2:49" ht="13.5" customHeight="1" x14ac:dyDescent="0.2">
      <c r="B353" s="74"/>
      <c r="C353" s="74"/>
      <c r="D353" s="216"/>
      <c r="E353" s="209"/>
      <c r="F353" s="210"/>
      <c r="G353" s="211" t="s">
        <v>65</v>
      </c>
      <c r="H353" s="212"/>
      <c r="I353" s="212"/>
      <c r="J353" s="212"/>
      <c r="K353" s="212"/>
      <c r="L353" s="212"/>
      <c r="M353" s="212"/>
      <c r="N353" s="212"/>
      <c r="O353" s="213"/>
      <c r="P353" s="214"/>
      <c r="Q353" s="214"/>
      <c r="R353" s="215"/>
      <c r="S353" s="216"/>
      <c r="T353" s="209"/>
      <c r="U353" s="210"/>
      <c r="V353" s="211" t="s">
        <v>65</v>
      </c>
      <c r="W353" s="212"/>
      <c r="X353" s="212"/>
      <c r="Y353" s="212"/>
      <c r="Z353" s="212"/>
      <c r="AA353" s="212"/>
      <c r="AB353" s="212"/>
      <c r="AC353" s="212"/>
      <c r="AD353" s="213"/>
      <c r="AE353" s="214"/>
      <c r="AF353" s="214"/>
      <c r="AG353" s="365" t="s">
        <v>83</v>
      </c>
      <c r="AH353" s="366"/>
      <c r="AI353" s="366"/>
      <c r="AJ353" s="367"/>
      <c r="AK353" s="371" t="s">
        <v>66</v>
      </c>
      <c r="AL353" s="372"/>
      <c r="AM353" s="372"/>
      <c r="AN353" s="372"/>
      <c r="AO353" s="372"/>
      <c r="AP353" s="372"/>
      <c r="AQ353" s="373"/>
      <c r="AU353" s="53"/>
      <c r="AV353" s="53"/>
      <c r="AW353" s="53"/>
    </row>
    <row r="354" spans="2:49" ht="13.5" customHeight="1" thickBot="1" x14ac:dyDescent="0.25">
      <c r="B354" s="74"/>
      <c r="C354" s="74"/>
      <c r="D354" s="216"/>
      <c r="E354" s="209"/>
      <c r="F354" s="210"/>
      <c r="G354" s="217">
        <v>2</v>
      </c>
      <c r="H354" s="209"/>
      <c r="I354" s="209"/>
      <c r="J354" s="209"/>
      <c r="K354" s="209"/>
      <c r="L354" s="209"/>
      <c r="M354" s="209"/>
      <c r="N354" s="209"/>
      <c r="O354" s="210"/>
      <c r="P354" s="214"/>
      <c r="Q354" s="214"/>
      <c r="R354" s="215"/>
      <c r="S354" s="216"/>
      <c r="T354" s="209"/>
      <c r="U354" s="210"/>
      <c r="V354" s="217">
        <v>2</v>
      </c>
      <c r="W354" s="209"/>
      <c r="X354" s="209"/>
      <c r="Y354" s="209"/>
      <c r="Z354" s="209"/>
      <c r="AA354" s="209"/>
      <c r="AB354" s="209"/>
      <c r="AC354" s="209"/>
      <c r="AD354" s="210"/>
      <c r="AE354" s="214"/>
      <c r="AF354" s="214"/>
      <c r="AG354" s="368"/>
      <c r="AH354" s="369"/>
      <c r="AI354" s="369"/>
      <c r="AJ354" s="370"/>
      <c r="AK354" s="374"/>
      <c r="AL354" s="375"/>
      <c r="AM354" s="375"/>
      <c r="AN354" s="375"/>
      <c r="AO354" s="375"/>
      <c r="AP354" s="375"/>
      <c r="AQ354" s="376"/>
      <c r="AU354" s="53"/>
      <c r="AV354" s="53"/>
      <c r="AW354" s="53"/>
    </row>
    <row r="355" spans="2:49" ht="13.5" customHeight="1" x14ac:dyDescent="0.2">
      <c r="B355" s="74"/>
      <c r="C355" s="74"/>
      <c r="D355" s="216"/>
      <c r="E355" s="209"/>
      <c r="F355" s="210"/>
      <c r="G355" s="217">
        <v>3</v>
      </c>
      <c r="H355" s="209"/>
      <c r="I355" s="209"/>
      <c r="J355" s="209"/>
      <c r="K355" s="209"/>
      <c r="L355" s="209"/>
      <c r="M355" s="209"/>
      <c r="N355" s="209"/>
      <c r="O355" s="210"/>
      <c r="P355" s="214"/>
      <c r="Q355" s="214"/>
      <c r="R355" s="215"/>
      <c r="S355" s="216"/>
      <c r="T355" s="209"/>
      <c r="U355" s="210"/>
      <c r="V355" s="217">
        <v>3</v>
      </c>
      <c r="W355" s="209"/>
      <c r="X355" s="209"/>
      <c r="Y355" s="209"/>
      <c r="Z355" s="209"/>
      <c r="AA355" s="209"/>
      <c r="AB355" s="209"/>
      <c r="AC355" s="209"/>
      <c r="AD355" s="210"/>
      <c r="AE355" s="214"/>
      <c r="AF355" s="214"/>
      <c r="AG355" s="365" t="s">
        <v>2</v>
      </c>
      <c r="AH355" s="366"/>
      <c r="AI355" s="366"/>
      <c r="AJ355" s="367"/>
      <c r="AK355" s="371" t="s">
        <v>66</v>
      </c>
      <c r="AL355" s="372"/>
      <c r="AM355" s="372"/>
      <c r="AN355" s="372"/>
      <c r="AO355" s="372"/>
      <c r="AP355" s="372"/>
      <c r="AQ355" s="373"/>
      <c r="AU355" s="53"/>
      <c r="AV355" s="53"/>
      <c r="AW355" s="53"/>
    </row>
    <row r="356" spans="2:49" ht="13.5" customHeight="1" thickBot="1" x14ac:dyDescent="0.25">
      <c r="B356" s="74"/>
      <c r="C356" s="74"/>
      <c r="D356" s="216"/>
      <c r="E356" s="209"/>
      <c r="F356" s="210"/>
      <c r="G356" s="217">
        <v>4</v>
      </c>
      <c r="H356" s="209"/>
      <c r="I356" s="209"/>
      <c r="J356" s="209"/>
      <c r="K356" s="209"/>
      <c r="L356" s="209"/>
      <c r="M356" s="209"/>
      <c r="N356" s="209"/>
      <c r="O356" s="210"/>
      <c r="P356" s="214"/>
      <c r="Q356" s="214"/>
      <c r="R356" s="215"/>
      <c r="S356" s="216"/>
      <c r="T356" s="209"/>
      <c r="U356" s="210"/>
      <c r="V356" s="217">
        <v>4</v>
      </c>
      <c r="W356" s="209"/>
      <c r="X356" s="209"/>
      <c r="Y356" s="209"/>
      <c r="Z356" s="209"/>
      <c r="AA356" s="209"/>
      <c r="AB356" s="209"/>
      <c r="AC356" s="209"/>
      <c r="AD356" s="210"/>
      <c r="AE356" s="214"/>
      <c r="AF356" s="214"/>
      <c r="AG356" s="368"/>
      <c r="AH356" s="369"/>
      <c r="AI356" s="369"/>
      <c r="AJ356" s="370"/>
      <c r="AK356" s="374"/>
      <c r="AL356" s="375"/>
      <c r="AM356" s="375"/>
      <c r="AN356" s="375"/>
      <c r="AO356" s="375"/>
      <c r="AP356" s="375"/>
      <c r="AQ356" s="376"/>
      <c r="AU356" s="53"/>
      <c r="AV356" s="53"/>
      <c r="AW356" s="53"/>
    </row>
    <row r="357" spans="2:49" ht="13.5" customHeight="1" x14ac:dyDescent="0.2">
      <c r="B357" s="74"/>
      <c r="C357" s="74"/>
      <c r="D357" s="216"/>
      <c r="E357" s="209"/>
      <c r="F357" s="210"/>
      <c r="G357" s="217">
        <v>5</v>
      </c>
      <c r="H357" s="209"/>
      <c r="I357" s="209"/>
      <c r="J357" s="209"/>
      <c r="K357" s="209"/>
      <c r="L357" s="209"/>
      <c r="M357" s="209"/>
      <c r="N357" s="209"/>
      <c r="O357" s="210"/>
      <c r="P357" s="214"/>
      <c r="Q357" s="214"/>
      <c r="R357" s="215"/>
      <c r="S357" s="216"/>
      <c r="T357" s="209"/>
      <c r="U357" s="210"/>
      <c r="V357" s="217">
        <v>5</v>
      </c>
      <c r="W357" s="209"/>
      <c r="X357" s="209"/>
      <c r="Y357" s="209"/>
      <c r="Z357" s="209"/>
      <c r="AA357" s="209"/>
      <c r="AB357" s="209"/>
      <c r="AC357" s="209"/>
      <c r="AD357" s="210"/>
      <c r="AE357" s="214"/>
      <c r="AF357" s="214"/>
      <c r="AG357" s="102" t="s">
        <v>67</v>
      </c>
      <c r="AH357" s="70"/>
      <c r="AI357" s="70"/>
      <c r="AJ357" s="70"/>
      <c r="AK357" s="70"/>
      <c r="AL357" s="70"/>
      <c r="AM357" s="70"/>
      <c r="AN357" s="70"/>
      <c r="AO357" s="70" t="s">
        <v>68</v>
      </c>
      <c r="AP357" s="70"/>
      <c r="AQ357" s="79"/>
      <c r="AU357" s="53"/>
      <c r="AV357" s="53"/>
      <c r="AW357" s="53"/>
    </row>
    <row r="358" spans="2:49" ht="13.5" customHeight="1" x14ac:dyDescent="0.2">
      <c r="B358" s="74"/>
      <c r="C358" s="74"/>
      <c r="D358" s="216"/>
      <c r="E358" s="209"/>
      <c r="F358" s="210"/>
      <c r="G358" s="217">
        <v>6</v>
      </c>
      <c r="H358" s="209"/>
      <c r="I358" s="209"/>
      <c r="J358" s="209"/>
      <c r="K358" s="209"/>
      <c r="L358" s="209"/>
      <c r="M358" s="209"/>
      <c r="N358" s="209"/>
      <c r="O358" s="210"/>
      <c r="P358" s="214"/>
      <c r="Q358" s="214"/>
      <c r="R358" s="215"/>
      <c r="S358" s="216"/>
      <c r="T358" s="209"/>
      <c r="U358" s="210"/>
      <c r="V358" s="217">
        <v>6</v>
      </c>
      <c r="W358" s="209"/>
      <c r="X358" s="209"/>
      <c r="Y358" s="209"/>
      <c r="Z358" s="209"/>
      <c r="AA358" s="209"/>
      <c r="AB358" s="209"/>
      <c r="AC358" s="209"/>
      <c r="AD358" s="210"/>
      <c r="AE358" s="214"/>
      <c r="AF358" s="214"/>
      <c r="AG358" s="103"/>
      <c r="AH358" s="67"/>
      <c r="AI358" s="67"/>
      <c r="AJ358" s="67"/>
      <c r="AK358" s="67"/>
      <c r="AL358" s="67"/>
      <c r="AM358" s="67"/>
      <c r="AN358" s="67"/>
      <c r="AO358" s="67"/>
      <c r="AP358" s="67"/>
      <c r="AQ358" s="81"/>
      <c r="AU358" s="53"/>
      <c r="AV358" s="53"/>
      <c r="AW358" s="53"/>
    </row>
    <row r="359" spans="2:49" ht="13.5" customHeight="1" thickBot="1" x14ac:dyDescent="0.25">
      <c r="B359" s="74"/>
      <c r="C359" s="74"/>
      <c r="D359" s="216"/>
      <c r="E359" s="209"/>
      <c r="F359" s="210"/>
      <c r="G359" s="217">
        <v>7</v>
      </c>
      <c r="H359" s="209"/>
      <c r="I359" s="209"/>
      <c r="J359" s="209"/>
      <c r="K359" s="209"/>
      <c r="L359" s="209"/>
      <c r="M359" s="209"/>
      <c r="N359" s="209"/>
      <c r="O359" s="210"/>
      <c r="P359" s="214"/>
      <c r="Q359" s="214"/>
      <c r="R359" s="215"/>
      <c r="S359" s="216"/>
      <c r="T359" s="209"/>
      <c r="U359" s="210"/>
      <c r="V359" s="217">
        <v>7</v>
      </c>
      <c r="W359" s="209"/>
      <c r="X359" s="209"/>
      <c r="Y359" s="209"/>
      <c r="Z359" s="209"/>
      <c r="AA359" s="209"/>
      <c r="AB359" s="209"/>
      <c r="AC359" s="209"/>
      <c r="AD359" s="210"/>
      <c r="AE359" s="214"/>
      <c r="AF359" s="214"/>
      <c r="AG359" s="74" t="s">
        <v>69</v>
      </c>
      <c r="AH359" s="67"/>
      <c r="AI359" s="67"/>
      <c r="AJ359" s="67"/>
      <c r="AK359" s="67"/>
      <c r="AL359" s="67"/>
      <c r="AM359" s="67"/>
      <c r="AN359" s="67"/>
      <c r="AO359" s="67"/>
      <c r="AP359" s="67"/>
      <c r="AQ359" s="81"/>
      <c r="AU359" s="53"/>
      <c r="AV359" s="53"/>
      <c r="AW359" s="53"/>
    </row>
    <row r="360" spans="2:49" ht="13.5" customHeight="1" thickBot="1" x14ac:dyDescent="0.25">
      <c r="B360" s="74"/>
      <c r="C360" s="74"/>
      <c r="D360" s="222"/>
      <c r="E360" s="218"/>
      <c r="F360" s="219"/>
      <c r="G360" s="220">
        <v>8</v>
      </c>
      <c r="H360" s="218"/>
      <c r="I360" s="218"/>
      <c r="J360" s="218"/>
      <c r="K360" s="218"/>
      <c r="L360" s="218"/>
      <c r="M360" s="218"/>
      <c r="N360" s="218"/>
      <c r="O360" s="219"/>
      <c r="P360" s="221"/>
      <c r="Q360" s="221"/>
      <c r="R360" s="215"/>
      <c r="S360" s="222"/>
      <c r="T360" s="218"/>
      <c r="U360" s="219"/>
      <c r="V360" s="220">
        <v>8</v>
      </c>
      <c r="W360" s="218"/>
      <c r="X360" s="218"/>
      <c r="Y360" s="218"/>
      <c r="Z360" s="218"/>
      <c r="AA360" s="218"/>
      <c r="AB360" s="218"/>
      <c r="AC360" s="218"/>
      <c r="AD360" s="219"/>
      <c r="AE360" s="221"/>
      <c r="AF360" s="221"/>
      <c r="AG360" s="104" t="s">
        <v>70</v>
      </c>
      <c r="AH360" s="70"/>
      <c r="AI360" s="70"/>
      <c r="AJ360" s="70"/>
      <c r="AK360" s="70"/>
      <c r="AL360" s="70"/>
      <c r="AM360" s="70"/>
      <c r="AN360" s="70"/>
      <c r="AO360" s="70"/>
      <c r="AP360" s="70"/>
      <c r="AQ360" s="79"/>
      <c r="AU360" s="53"/>
      <c r="AV360" s="53"/>
      <c r="AW360" s="53"/>
    </row>
    <row r="361" spans="2:49" ht="13.5" customHeight="1" thickBot="1" x14ac:dyDescent="0.25">
      <c r="B361" s="74"/>
      <c r="C361" s="74"/>
      <c r="D361" s="89"/>
      <c r="E361" s="105"/>
      <c r="F361" s="105"/>
      <c r="G361" s="105"/>
      <c r="H361" s="105"/>
      <c r="I361" s="105"/>
      <c r="J361" s="106" t="s">
        <v>71</v>
      </c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7"/>
      <c r="AG361" s="84" t="s">
        <v>72</v>
      </c>
      <c r="AH361" s="67"/>
      <c r="AI361" s="67"/>
      <c r="AJ361" s="67"/>
      <c r="AK361" s="67"/>
      <c r="AL361" s="67"/>
      <c r="AM361" s="67"/>
      <c r="AN361" s="67"/>
      <c r="AO361" s="67"/>
      <c r="AP361" s="67"/>
      <c r="AQ361" s="81"/>
      <c r="AU361" s="53"/>
      <c r="AV361" s="53"/>
      <c r="AW361" s="53"/>
    </row>
    <row r="362" spans="2:49" ht="13.5" customHeight="1" thickBot="1" x14ac:dyDescent="0.25">
      <c r="B362" s="74"/>
      <c r="C362" s="74"/>
      <c r="D362" s="108" t="s">
        <v>73</v>
      </c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7"/>
      <c r="S362" s="108" t="s">
        <v>74</v>
      </c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7"/>
      <c r="AG362" s="109" t="s">
        <v>75</v>
      </c>
      <c r="AH362" s="110"/>
      <c r="AI362" s="110"/>
      <c r="AJ362" s="110"/>
      <c r="AK362" s="110"/>
      <c r="AL362" s="87"/>
      <c r="AM362" s="111" t="s">
        <v>76</v>
      </c>
      <c r="AN362" s="110"/>
      <c r="AO362" s="110"/>
      <c r="AP362" s="110"/>
      <c r="AQ362" s="87"/>
      <c r="AU362" s="53"/>
      <c r="AV362" s="53"/>
      <c r="AW362" s="53"/>
    </row>
    <row r="363" spans="2:49" ht="17.25" customHeight="1" thickBot="1" x14ac:dyDescent="0.25">
      <c r="B363" s="72"/>
      <c r="C363" s="72"/>
      <c r="D363" s="108" t="s">
        <v>77</v>
      </c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7"/>
      <c r="S363" s="108" t="s">
        <v>6</v>
      </c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7"/>
      <c r="AG363" s="112" t="s">
        <v>78</v>
      </c>
      <c r="AH363" s="73"/>
      <c r="AI363" s="73"/>
      <c r="AJ363" s="73"/>
      <c r="AK363" s="73"/>
      <c r="AL363" s="87"/>
      <c r="AM363" s="113" t="s">
        <v>79</v>
      </c>
      <c r="AN363" s="73"/>
      <c r="AO363" s="73"/>
      <c r="AP363" s="73"/>
      <c r="AQ363" s="87"/>
      <c r="AU363" s="53"/>
      <c r="AV363" s="53"/>
      <c r="AW363" s="53"/>
    </row>
    <row r="364" spans="2:49" ht="17.25" customHeight="1" thickBot="1" x14ac:dyDescent="0.25">
      <c r="B364" s="67"/>
      <c r="C364" s="67"/>
      <c r="D364" s="114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114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115"/>
      <c r="AH364" s="67"/>
      <c r="AI364" s="67"/>
      <c r="AJ364" s="67"/>
      <c r="AK364" s="67"/>
      <c r="AL364" s="67"/>
      <c r="AM364" s="116"/>
      <c r="AN364" s="67"/>
      <c r="AO364" s="67"/>
      <c r="AP364" s="67"/>
      <c r="AQ364" s="67"/>
      <c r="AU364" s="53"/>
      <c r="AV364" s="53"/>
      <c r="AW364" s="53"/>
    </row>
    <row r="365" spans="2:49" ht="17.25" customHeight="1" x14ac:dyDescent="0.25">
      <c r="B365" s="68"/>
      <c r="C365" s="68"/>
      <c r="D365" s="69" t="s">
        <v>44</v>
      </c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1" t="s">
        <v>89</v>
      </c>
      <c r="Z365" s="70"/>
      <c r="AA365" s="70"/>
      <c r="AB365" s="70"/>
      <c r="AC365" s="70"/>
      <c r="AD365" s="70"/>
      <c r="AE365" s="70"/>
      <c r="AF365" s="70"/>
      <c r="AG365" s="70"/>
      <c r="AH365" s="441" t="s">
        <v>45</v>
      </c>
      <c r="AI365" s="442"/>
      <c r="AJ365" s="442"/>
      <c r="AK365" s="442"/>
      <c r="AL365" s="442"/>
      <c r="AM365" s="443">
        <f>IF(($AU$9+11)&gt;$AX$9,"",VLOOKUP($AU$9+11,Spielplan,3,0))</f>
        <v>0.17013888888888887</v>
      </c>
      <c r="AN365" s="443"/>
      <c r="AO365" s="443"/>
      <c r="AP365" s="443"/>
      <c r="AQ365" s="444"/>
      <c r="AU365" s="53"/>
      <c r="AV365" s="53"/>
      <c r="AW365" s="53"/>
    </row>
    <row r="366" spans="2:49" ht="0.75" customHeight="1" thickBot="1" x14ac:dyDescent="0.25">
      <c r="B366" s="72"/>
      <c r="C366" s="72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4"/>
      <c r="AI366" s="67"/>
      <c r="AJ366" s="67"/>
      <c r="AK366" s="67"/>
      <c r="AL366" s="67"/>
      <c r="AM366" s="75"/>
      <c r="AN366" s="75"/>
      <c r="AO366" s="75"/>
      <c r="AP366" s="75"/>
      <c r="AQ366" s="76"/>
      <c r="AU366" s="53"/>
      <c r="AV366" s="53"/>
      <c r="AW366" s="53"/>
    </row>
    <row r="367" spans="2:49" ht="15" x14ac:dyDescent="0.25">
      <c r="B367" s="68"/>
      <c r="C367" s="77"/>
      <c r="D367" s="68"/>
      <c r="E367" s="78" t="s">
        <v>6</v>
      </c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9"/>
      <c r="S367" s="439" t="s">
        <v>46</v>
      </c>
      <c r="T367" s="440"/>
      <c r="U367" s="440"/>
      <c r="V367" s="440"/>
      <c r="W367" s="440"/>
      <c r="X367" s="440"/>
      <c r="Y367" s="366" t="str">
        <f>IF(($AU$9+11)&gt;$AX$9,"","SHTV")</f>
        <v>SHTV</v>
      </c>
      <c r="Z367" s="366"/>
      <c r="AA367" s="366"/>
      <c r="AB367" s="366"/>
      <c r="AC367" s="366"/>
      <c r="AD367" s="366"/>
      <c r="AE367" s="366"/>
      <c r="AF367" s="366"/>
      <c r="AG367" s="366"/>
      <c r="AH367" s="430" t="s">
        <v>47</v>
      </c>
      <c r="AI367" s="431"/>
      <c r="AJ367" s="431"/>
      <c r="AK367" s="431"/>
      <c r="AL367" s="431"/>
      <c r="AM367" s="434">
        <f>IF(($AU$9+11)&gt;$AX$9,"",VLOOKUP($AU$9+11,Spielplan,4,0))</f>
        <v>8</v>
      </c>
      <c r="AN367" s="435"/>
      <c r="AO367" s="435"/>
      <c r="AP367" s="435"/>
      <c r="AQ367" s="436"/>
      <c r="AU367" s="53"/>
      <c r="AV367" s="53"/>
      <c r="AW367" s="53"/>
    </row>
    <row r="368" spans="2:49" ht="9.9499999999999993" customHeight="1" x14ac:dyDescent="0.2">
      <c r="B368" s="74"/>
      <c r="C368" s="80"/>
      <c r="D368" s="74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81"/>
      <c r="S368" s="423"/>
      <c r="T368" s="406"/>
      <c r="U368" s="406"/>
      <c r="V368" s="406"/>
      <c r="W368" s="406"/>
      <c r="X368" s="406"/>
      <c r="Y368" s="425"/>
      <c r="Z368" s="425"/>
      <c r="AA368" s="425"/>
      <c r="AB368" s="425"/>
      <c r="AC368" s="425"/>
      <c r="AD368" s="425"/>
      <c r="AE368" s="425"/>
      <c r="AF368" s="425"/>
      <c r="AG368" s="425"/>
      <c r="AH368" s="432"/>
      <c r="AI368" s="433"/>
      <c r="AJ368" s="433"/>
      <c r="AK368" s="433"/>
      <c r="AL368" s="433"/>
      <c r="AM368" s="437"/>
      <c r="AN368" s="437"/>
      <c r="AO368" s="437"/>
      <c r="AP368" s="437"/>
      <c r="AQ368" s="438"/>
      <c r="AU368" s="53"/>
      <c r="AV368" s="53"/>
      <c r="AW368" s="53"/>
    </row>
    <row r="369" spans="2:49" ht="13.15" customHeight="1" x14ac:dyDescent="0.2">
      <c r="B369" s="74"/>
      <c r="C369" s="80"/>
      <c r="D369" s="74"/>
      <c r="E369" s="67" t="s">
        <v>48</v>
      </c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81"/>
      <c r="S369" s="422" t="s">
        <v>49</v>
      </c>
      <c r="T369" s="406"/>
      <c r="U369" s="406"/>
      <c r="V369" s="406"/>
      <c r="W369" s="406"/>
      <c r="X369" s="406"/>
      <c r="Y369" s="425">
        <f>IF(($AU$9+11)&gt;$AX$9,"",Platzierung!$U$3)</f>
        <v>0</v>
      </c>
      <c r="Z369" s="425"/>
      <c r="AA369" s="425"/>
      <c r="AB369" s="425"/>
      <c r="AC369" s="425"/>
      <c r="AD369" s="425"/>
      <c r="AE369" s="425"/>
      <c r="AF369" s="425"/>
      <c r="AG369" s="425"/>
      <c r="AH369" s="430" t="s">
        <v>50</v>
      </c>
      <c r="AI369" s="431"/>
      <c r="AJ369" s="431"/>
      <c r="AK369" s="431"/>
      <c r="AL369" s="431"/>
      <c r="AM369" s="434">
        <f>IF(($AU$9+11)&gt;$AX$9,"",VLOOKUP($AU$9+11,Spielplan,6,0))</f>
        <v>12</v>
      </c>
      <c r="AN369" s="435"/>
      <c r="AO369" s="435"/>
      <c r="AP369" s="435"/>
      <c r="AQ369" s="436"/>
      <c r="AU369" s="53"/>
      <c r="AV369" s="53"/>
      <c r="AW369" s="53"/>
    </row>
    <row r="370" spans="2:49" ht="9.9499999999999993" customHeight="1" x14ac:dyDescent="0.2">
      <c r="B370" s="74"/>
      <c r="C370" s="80"/>
      <c r="D370" s="74"/>
      <c r="E370" s="67"/>
      <c r="F370" s="67"/>
      <c r="G370" s="67"/>
      <c r="H370" s="67"/>
      <c r="I370" s="67"/>
      <c r="J370" s="82" t="s">
        <v>51</v>
      </c>
      <c r="K370" s="67"/>
      <c r="L370" s="67"/>
      <c r="M370" s="67"/>
      <c r="N370" s="67"/>
      <c r="O370" s="67"/>
      <c r="P370" s="67"/>
      <c r="Q370" s="67"/>
      <c r="R370" s="81"/>
      <c r="S370" s="423"/>
      <c r="T370" s="406"/>
      <c r="U370" s="406"/>
      <c r="V370" s="406"/>
      <c r="W370" s="406"/>
      <c r="X370" s="406"/>
      <c r="Y370" s="425"/>
      <c r="Z370" s="425"/>
      <c r="AA370" s="425"/>
      <c r="AB370" s="425"/>
      <c r="AC370" s="425"/>
      <c r="AD370" s="425"/>
      <c r="AE370" s="425"/>
      <c r="AF370" s="425"/>
      <c r="AG370" s="425"/>
      <c r="AH370" s="432"/>
      <c r="AI370" s="433"/>
      <c r="AJ370" s="433"/>
      <c r="AK370" s="433"/>
      <c r="AL370" s="433"/>
      <c r="AM370" s="437"/>
      <c r="AN370" s="437"/>
      <c r="AO370" s="437"/>
      <c r="AP370" s="437"/>
      <c r="AQ370" s="438"/>
      <c r="AU370" s="53"/>
      <c r="AV370" s="53"/>
      <c r="AW370" s="53"/>
    </row>
    <row r="371" spans="2:49" ht="15.75" customHeight="1" x14ac:dyDescent="0.2">
      <c r="B371" s="74"/>
      <c r="C371" s="80"/>
      <c r="D371" s="418">
        <f>IF(($AU$9+11)&gt;$AX$9,"",VLOOKUP($AU$9+11,Spielplan,10,0))</f>
        <v>0</v>
      </c>
      <c r="E371" s="419"/>
      <c r="F371" s="419"/>
      <c r="G371" s="419"/>
      <c r="H371" s="419"/>
      <c r="I371" s="419"/>
      <c r="J371" s="419"/>
      <c r="K371" s="419"/>
      <c r="L371" s="419"/>
      <c r="M371" s="419"/>
      <c r="N371" s="419"/>
      <c r="O371" s="419"/>
      <c r="P371" s="419"/>
      <c r="Q371" s="419"/>
      <c r="R371" s="420"/>
      <c r="S371" s="422" t="s">
        <v>52</v>
      </c>
      <c r="T371" s="406"/>
      <c r="U371" s="406"/>
      <c r="V371" s="406"/>
      <c r="W371" s="406"/>
      <c r="X371" s="406"/>
      <c r="Y371" s="424">
        <f>IF(($AU$9+11)&gt;$AX$9,"",VLOOKUP($AU$9+11,Spielplan,2,0))</f>
        <v>0</v>
      </c>
      <c r="Z371" s="425"/>
      <c r="AA371" s="425"/>
      <c r="AB371" s="425"/>
      <c r="AC371" s="425"/>
      <c r="AD371" s="425"/>
      <c r="AE371" s="425"/>
      <c r="AF371" s="425"/>
      <c r="AG371" s="425"/>
      <c r="AH371" s="405" t="s">
        <v>53</v>
      </c>
      <c r="AI371" s="406"/>
      <c r="AJ371" s="406"/>
      <c r="AK371" s="406"/>
      <c r="AL371" s="406"/>
      <c r="AM371" s="400">
        <f>IF(($AU$9+11)&gt;$AX$9,"",VLOOKUP($AU$9+11,Spielplan,5,0))</f>
        <v>1</v>
      </c>
      <c r="AN371" s="401"/>
      <c r="AO371" s="401"/>
      <c r="AP371" s="401"/>
      <c r="AQ371" s="402"/>
      <c r="AU371" s="53"/>
      <c r="AV371" s="53"/>
      <c r="AW371" s="53"/>
    </row>
    <row r="372" spans="2:49" ht="11.1" customHeight="1" thickBot="1" x14ac:dyDescent="0.25">
      <c r="B372" s="74"/>
      <c r="C372" s="80"/>
      <c r="D372" s="421"/>
      <c r="E372" s="419"/>
      <c r="F372" s="419"/>
      <c r="G372" s="419"/>
      <c r="H372" s="419"/>
      <c r="I372" s="419"/>
      <c r="J372" s="419"/>
      <c r="K372" s="419"/>
      <c r="L372" s="419"/>
      <c r="M372" s="419"/>
      <c r="N372" s="419"/>
      <c r="O372" s="419"/>
      <c r="P372" s="419"/>
      <c r="Q372" s="419"/>
      <c r="R372" s="420"/>
      <c r="S372" s="423"/>
      <c r="T372" s="406"/>
      <c r="U372" s="406"/>
      <c r="V372" s="406"/>
      <c r="W372" s="406"/>
      <c r="X372" s="406"/>
      <c r="Y372" s="425"/>
      <c r="Z372" s="425"/>
      <c r="AA372" s="425"/>
      <c r="AB372" s="425"/>
      <c r="AC372" s="425"/>
      <c r="AD372" s="425"/>
      <c r="AE372" s="425"/>
      <c r="AF372" s="425"/>
      <c r="AG372" s="425"/>
      <c r="AH372" s="407"/>
      <c r="AI372" s="408"/>
      <c r="AJ372" s="408"/>
      <c r="AK372" s="408"/>
      <c r="AL372" s="408"/>
      <c r="AM372" s="403"/>
      <c r="AN372" s="403"/>
      <c r="AO372" s="403"/>
      <c r="AP372" s="403"/>
      <c r="AQ372" s="404"/>
      <c r="AU372" s="53"/>
      <c r="AV372" s="53"/>
      <c r="AW372" s="53"/>
    </row>
    <row r="373" spans="2:49" ht="11.1" customHeight="1" thickBot="1" x14ac:dyDescent="0.25">
      <c r="B373" s="74"/>
      <c r="C373" s="80"/>
      <c r="D373" s="72"/>
      <c r="E373" s="73"/>
      <c r="F373" s="73"/>
      <c r="G373" s="73"/>
      <c r="H373" s="73"/>
      <c r="I373" s="73"/>
      <c r="J373" s="73" t="s">
        <v>54</v>
      </c>
      <c r="K373" s="73"/>
      <c r="L373" s="73"/>
      <c r="M373" s="73"/>
      <c r="N373" s="73"/>
      <c r="O373" s="67"/>
      <c r="P373" s="67"/>
      <c r="Q373" s="73"/>
      <c r="R373" s="83"/>
      <c r="S373" s="74"/>
      <c r="T373" s="67"/>
      <c r="U373" s="67"/>
      <c r="V373" s="67"/>
      <c r="W373" s="67"/>
      <c r="X373" s="67"/>
      <c r="Y373" s="409"/>
      <c r="Z373" s="409"/>
      <c r="AA373" s="409"/>
      <c r="AB373" s="409"/>
      <c r="AC373" s="409"/>
      <c r="AD373" s="409"/>
      <c r="AE373" s="409"/>
      <c r="AF373" s="410"/>
      <c r="AG373" s="411"/>
      <c r="AH373" s="84" t="s">
        <v>55</v>
      </c>
      <c r="AI373" s="67"/>
      <c r="AJ373" s="67"/>
      <c r="AK373" s="67"/>
      <c r="AL373" s="67"/>
      <c r="AM373" s="67"/>
      <c r="AN373" s="67"/>
      <c r="AO373" s="85"/>
      <c r="AP373" s="67"/>
      <c r="AQ373" s="81"/>
      <c r="AU373" s="53"/>
      <c r="AV373" s="53"/>
      <c r="AW373" s="53"/>
    </row>
    <row r="374" spans="2:49" ht="13.5" customHeight="1" thickBot="1" x14ac:dyDescent="0.3">
      <c r="B374" s="74"/>
      <c r="C374" s="80"/>
      <c r="D374" s="68"/>
      <c r="E374" s="78" t="s">
        <v>8</v>
      </c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412" t="s">
        <v>56</v>
      </c>
      <c r="R374" s="68"/>
      <c r="S374" s="68"/>
      <c r="T374" s="78" t="s">
        <v>7</v>
      </c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9"/>
      <c r="AF374" s="415" t="s">
        <v>56</v>
      </c>
      <c r="AG374" s="74"/>
      <c r="AH374" s="86" t="s">
        <v>57</v>
      </c>
      <c r="AI374" s="73"/>
      <c r="AJ374" s="73"/>
      <c r="AK374" s="73"/>
      <c r="AL374" s="73"/>
      <c r="AM374" s="73"/>
      <c r="AN374" s="73"/>
      <c r="AO374" s="87"/>
      <c r="AP374" s="67"/>
      <c r="AQ374" s="81"/>
      <c r="AU374" s="53"/>
      <c r="AV374" s="53"/>
      <c r="AW374" s="53"/>
    </row>
    <row r="375" spans="2:49" ht="12" customHeight="1" thickBot="1" x14ac:dyDescent="0.25">
      <c r="B375" s="74"/>
      <c r="C375" s="80"/>
      <c r="D375" s="418">
        <f>IF(($AU$9+11)&gt;$AX$9,"",VLOOKUP($AU$9+11,Spielplan,7,0))</f>
        <v>0</v>
      </c>
      <c r="E375" s="419"/>
      <c r="F375" s="419"/>
      <c r="G375" s="419"/>
      <c r="H375" s="419"/>
      <c r="I375" s="419"/>
      <c r="J375" s="419"/>
      <c r="K375" s="419"/>
      <c r="L375" s="419"/>
      <c r="M375" s="419"/>
      <c r="N375" s="419"/>
      <c r="O375" s="419"/>
      <c r="P375" s="420"/>
      <c r="Q375" s="413"/>
      <c r="R375" s="74"/>
      <c r="S375" s="418">
        <f>IF(($AU$9+11)&gt;$AX$9,"",VLOOKUP($AU$9+11,Spielplan,9,0))</f>
        <v>0</v>
      </c>
      <c r="T375" s="419"/>
      <c r="U375" s="419"/>
      <c r="V375" s="419"/>
      <c r="W375" s="419"/>
      <c r="X375" s="419"/>
      <c r="Y375" s="419"/>
      <c r="Z375" s="419"/>
      <c r="AA375" s="419"/>
      <c r="AB375" s="419"/>
      <c r="AC375" s="419"/>
      <c r="AD375" s="419"/>
      <c r="AE375" s="429"/>
      <c r="AF375" s="416"/>
      <c r="AG375" s="74"/>
      <c r="AH375" s="394" t="s">
        <v>58</v>
      </c>
      <c r="AI375" s="395"/>
      <c r="AJ375" s="395"/>
      <c r="AK375" s="395"/>
      <c r="AL375" s="395"/>
      <c r="AM375" s="396"/>
      <c r="AN375" s="88" t="s">
        <v>59</v>
      </c>
      <c r="AO375" s="89"/>
      <c r="AP375" s="89"/>
      <c r="AQ375" s="87"/>
      <c r="AU375" s="53"/>
      <c r="AV375" s="53"/>
      <c r="AW375" s="53"/>
    </row>
    <row r="376" spans="2:49" ht="12" customHeight="1" thickBot="1" x14ac:dyDescent="0.25">
      <c r="B376" s="72"/>
      <c r="C376" s="85"/>
      <c r="D376" s="426"/>
      <c r="E376" s="427"/>
      <c r="F376" s="427"/>
      <c r="G376" s="427"/>
      <c r="H376" s="427"/>
      <c r="I376" s="427"/>
      <c r="J376" s="427"/>
      <c r="K376" s="427"/>
      <c r="L376" s="427"/>
      <c r="M376" s="427"/>
      <c r="N376" s="427"/>
      <c r="O376" s="427"/>
      <c r="P376" s="428"/>
      <c r="Q376" s="414"/>
      <c r="R376" s="72"/>
      <c r="S376" s="426"/>
      <c r="T376" s="427"/>
      <c r="U376" s="427"/>
      <c r="V376" s="427"/>
      <c r="W376" s="427"/>
      <c r="X376" s="427"/>
      <c r="Y376" s="427"/>
      <c r="Z376" s="427"/>
      <c r="AA376" s="427"/>
      <c r="AB376" s="427"/>
      <c r="AC376" s="427"/>
      <c r="AD376" s="427"/>
      <c r="AE376" s="389"/>
      <c r="AF376" s="417"/>
      <c r="AG376" s="72"/>
      <c r="AH376" s="397"/>
      <c r="AI376" s="398"/>
      <c r="AJ376" s="398"/>
      <c r="AK376" s="398"/>
      <c r="AL376" s="398"/>
      <c r="AM376" s="399"/>
      <c r="AN376" s="88" t="s">
        <v>60</v>
      </c>
      <c r="AO376" s="89"/>
      <c r="AP376" s="89"/>
      <c r="AQ376" s="87"/>
      <c r="AU376" s="53"/>
      <c r="AV376" s="53"/>
      <c r="AW376" s="53"/>
    </row>
    <row r="377" spans="2:49" ht="9.9499999999999993" customHeight="1" thickBot="1" x14ac:dyDescent="0.25">
      <c r="B377" s="74"/>
      <c r="C377" s="7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81"/>
      <c r="AU377" s="53"/>
      <c r="AV377" s="53"/>
      <c r="AW377" s="53"/>
    </row>
    <row r="378" spans="2:49" x14ac:dyDescent="0.2">
      <c r="B378" s="68"/>
      <c r="C378" s="77" t="s">
        <v>59</v>
      </c>
      <c r="D378" s="90"/>
      <c r="E378" s="91"/>
      <c r="F378" s="91"/>
      <c r="G378" s="91"/>
      <c r="H378" s="92"/>
      <c r="I378" s="90"/>
      <c r="J378" s="91"/>
      <c r="K378" s="91"/>
      <c r="L378" s="91"/>
      <c r="M378" s="92"/>
      <c r="N378" s="90"/>
      <c r="O378" s="91"/>
      <c r="P378" s="91"/>
      <c r="Q378" s="91"/>
      <c r="R378" s="92"/>
      <c r="S378" s="90"/>
      <c r="T378" s="91"/>
      <c r="U378" s="91"/>
      <c r="V378" s="91"/>
      <c r="W378" s="92"/>
      <c r="X378" s="90"/>
      <c r="Y378" s="91"/>
      <c r="Z378" s="91"/>
      <c r="AA378" s="91"/>
      <c r="AB378" s="92"/>
      <c r="AC378" s="90"/>
      <c r="AD378" s="91"/>
      <c r="AE378" s="91"/>
      <c r="AF378" s="91"/>
      <c r="AG378" s="92"/>
      <c r="AH378" s="90"/>
      <c r="AI378" s="91"/>
      <c r="AJ378" s="91"/>
      <c r="AK378" s="91"/>
      <c r="AL378" s="91"/>
      <c r="AM378" s="206" t="s">
        <v>59</v>
      </c>
      <c r="AN378" s="392"/>
      <c r="AO378" s="392"/>
      <c r="AP378" s="392"/>
      <c r="AQ378" s="393"/>
      <c r="AU378" s="53"/>
      <c r="AV378" s="53"/>
      <c r="AW378" s="53"/>
    </row>
    <row r="379" spans="2:49" ht="13.5" thickBot="1" x14ac:dyDescent="0.25">
      <c r="B379" s="72"/>
      <c r="C379" s="85" t="s">
        <v>60</v>
      </c>
      <c r="D379" s="72"/>
      <c r="E379" s="93"/>
      <c r="F379" s="93"/>
      <c r="G379" s="93"/>
      <c r="H379" s="94"/>
      <c r="I379" s="72"/>
      <c r="J379" s="93"/>
      <c r="K379" s="93"/>
      <c r="L379" s="93"/>
      <c r="M379" s="94"/>
      <c r="N379" s="72"/>
      <c r="O379" s="93"/>
      <c r="P379" s="93"/>
      <c r="Q379" s="93"/>
      <c r="R379" s="94"/>
      <c r="S379" s="72"/>
      <c r="T379" s="93"/>
      <c r="U379" s="93"/>
      <c r="V379" s="93"/>
      <c r="W379" s="94"/>
      <c r="X379" s="72"/>
      <c r="Y379" s="93"/>
      <c r="Z379" s="93"/>
      <c r="AA379" s="93"/>
      <c r="AB379" s="94"/>
      <c r="AC379" s="72"/>
      <c r="AD379" s="93"/>
      <c r="AE379" s="93"/>
      <c r="AF379" s="93"/>
      <c r="AG379" s="94"/>
      <c r="AH379" s="72"/>
      <c r="AI379" s="93"/>
      <c r="AJ379" s="93"/>
      <c r="AK379" s="93"/>
      <c r="AL379" s="93"/>
      <c r="AM379" s="208" t="s">
        <v>60</v>
      </c>
      <c r="AN379" s="326"/>
      <c r="AO379" s="326"/>
      <c r="AP379" s="326"/>
      <c r="AQ379" s="327"/>
      <c r="AU379" s="53"/>
      <c r="AV379" s="53"/>
      <c r="AW379" s="53"/>
    </row>
    <row r="380" spans="2:49" x14ac:dyDescent="0.2">
      <c r="B380" s="68"/>
      <c r="C380" s="77" t="s">
        <v>59</v>
      </c>
      <c r="D380" s="90"/>
      <c r="E380" s="91"/>
      <c r="F380" s="91"/>
      <c r="G380" s="91"/>
      <c r="H380" s="92"/>
      <c r="I380" s="90"/>
      <c r="J380" s="91"/>
      <c r="K380" s="91"/>
      <c r="L380" s="91"/>
      <c r="M380" s="92"/>
      <c r="N380" s="90"/>
      <c r="O380" s="91"/>
      <c r="P380" s="91"/>
      <c r="Q380" s="91"/>
      <c r="R380" s="92"/>
      <c r="S380" s="90"/>
      <c r="T380" s="91"/>
      <c r="U380" s="91"/>
      <c r="V380" s="91"/>
      <c r="W380" s="92"/>
      <c r="X380" s="90"/>
      <c r="Y380" s="91"/>
      <c r="Z380" s="91"/>
      <c r="AA380" s="91"/>
      <c r="AB380" s="92"/>
      <c r="AC380" s="90"/>
      <c r="AD380" s="91"/>
      <c r="AE380" s="91"/>
      <c r="AF380" s="91"/>
      <c r="AG380" s="92"/>
      <c r="AH380" s="90"/>
      <c r="AI380" s="91"/>
      <c r="AJ380" s="91"/>
      <c r="AK380" s="91"/>
      <c r="AL380" s="91"/>
      <c r="AM380" s="206" t="s">
        <v>59</v>
      </c>
      <c r="AN380" s="392"/>
      <c r="AO380" s="392"/>
      <c r="AP380" s="392"/>
      <c r="AQ380" s="393"/>
      <c r="AU380" s="53"/>
      <c r="AV380" s="53"/>
      <c r="AW380" s="53"/>
    </row>
    <row r="381" spans="2:49" ht="13.5" thickBot="1" x14ac:dyDescent="0.25">
      <c r="B381" s="72"/>
      <c r="C381" s="85" t="s">
        <v>60</v>
      </c>
      <c r="D381" s="72"/>
      <c r="E381" s="93"/>
      <c r="F381" s="93"/>
      <c r="G381" s="93"/>
      <c r="H381" s="94"/>
      <c r="I381" s="72"/>
      <c r="J381" s="93"/>
      <c r="K381" s="93"/>
      <c r="L381" s="93"/>
      <c r="M381" s="94"/>
      <c r="N381" s="72"/>
      <c r="O381" s="93"/>
      <c r="P381" s="93"/>
      <c r="Q381" s="93"/>
      <c r="R381" s="94"/>
      <c r="S381" s="72"/>
      <c r="T381" s="93"/>
      <c r="U381" s="93"/>
      <c r="V381" s="93"/>
      <c r="W381" s="94"/>
      <c r="X381" s="72"/>
      <c r="Y381" s="93"/>
      <c r="Z381" s="93"/>
      <c r="AA381" s="93"/>
      <c r="AB381" s="94"/>
      <c r="AC381" s="72"/>
      <c r="AD381" s="93"/>
      <c r="AE381" s="93"/>
      <c r="AF381" s="93"/>
      <c r="AG381" s="94"/>
      <c r="AH381" s="72"/>
      <c r="AI381" s="93"/>
      <c r="AJ381" s="93"/>
      <c r="AK381" s="93"/>
      <c r="AL381" s="93"/>
      <c r="AM381" s="207" t="s">
        <v>60</v>
      </c>
      <c r="AN381" s="347"/>
      <c r="AO381" s="347"/>
      <c r="AP381" s="347"/>
      <c r="AQ381" s="348"/>
      <c r="AU381" s="53"/>
      <c r="AV381" s="53"/>
      <c r="AW381" s="53"/>
    </row>
    <row r="382" spans="2:49" x14ac:dyDescent="0.2">
      <c r="B382" s="68"/>
      <c r="C382" s="77" t="s">
        <v>59</v>
      </c>
      <c r="D382" s="90"/>
      <c r="E382" s="91"/>
      <c r="F382" s="91"/>
      <c r="G382" s="91"/>
      <c r="H382" s="92"/>
      <c r="I382" s="90"/>
      <c r="J382" s="91"/>
      <c r="K382" s="91"/>
      <c r="L382" s="91"/>
      <c r="M382" s="92"/>
      <c r="N382" s="90"/>
      <c r="O382" s="91"/>
      <c r="P382" s="91"/>
      <c r="Q382" s="91"/>
      <c r="R382" s="92"/>
      <c r="S382" s="90"/>
      <c r="T382" s="91"/>
      <c r="U382" s="91"/>
      <c r="V382" s="91"/>
      <c r="W382" s="92"/>
      <c r="X382" s="90"/>
      <c r="Y382" s="91"/>
      <c r="Z382" s="91"/>
      <c r="AA382" s="91"/>
      <c r="AB382" s="92"/>
      <c r="AC382" s="90"/>
      <c r="AD382" s="91"/>
      <c r="AE382" s="91"/>
      <c r="AF382" s="91"/>
      <c r="AG382" s="92"/>
      <c r="AH382" s="90"/>
      <c r="AI382" s="91"/>
      <c r="AJ382" s="91"/>
      <c r="AK382" s="91"/>
      <c r="AL382" s="91"/>
      <c r="AM382" s="206" t="s">
        <v>59</v>
      </c>
      <c r="AN382" s="392"/>
      <c r="AO382" s="392"/>
      <c r="AP382" s="392"/>
      <c r="AQ382" s="393"/>
      <c r="AU382" s="53"/>
      <c r="AV382" s="53"/>
      <c r="AW382" s="53"/>
    </row>
    <row r="383" spans="2:49" ht="13.5" thickBot="1" x14ac:dyDescent="0.25">
      <c r="B383" s="72"/>
      <c r="C383" s="85" t="s">
        <v>60</v>
      </c>
      <c r="D383" s="72"/>
      <c r="E383" s="93"/>
      <c r="F383" s="93"/>
      <c r="G383" s="93"/>
      <c r="H383" s="94"/>
      <c r="I383" s="72"/>
      <c r="J383" s="93"/>
      <c r="K383" s="93"/>
      <c r="L383" s="93"/>
      <c r="M383" s="94"/>
      <c r="N383" s="72"/>
      <c r="O383" s="93"/>
      <c r="P383" s="93"/>
      <c r="Q383" s="93"/>
      <c r="R383" s="94"/>
      <c r="S383" s="72"/>
      <c r="T383" s="93"/>
      <c r="U383" s="93"/>
      <c r="V383" s="93"/>
      <c r="W383" s="94"/>
      <c r="X383" s="72"/>
      <c r="Y383" s="93"/>
      <c r="Z383" s="93"/>
      <c r="AA383" s="93"/>
      <c r="AB383" s="94"/>
      <c r="AC383" s="72"/>
      <c r="AD383" s="93"/>
      <c r="AE383" s="93"/>
      <c r="AF383" s="93"/>
      <c r="AG383" s="94"/>
      <c r="AH383" s="72"/>
      <c r="AI383" s="93"/>
      <c r="AJ383" s="93"/>
      <c r="AK383" s="93"/>
      <c r="AL383" s="93"/>
      <c r="AM383" s="207" t="s">
        <v>60</v>
      </c>
      <c r="AN383" s="347"/>
      <c r="AO383" s="347"/>
      <c r="AP383" s="347"/>
      <c r="AQ383" s="348"/>
      <c r="AU383" s="53"/>
      <c r="AV383" s="53"/>
      <c r="AW383" s="53"/>
    </row>
    <row r="384" spans="2:49" ht="9.9499999999999993" customHeight="1" x14ac:dyDescent="0.2">
      <c r="B384" s="74"/>
      <c r="C384" s="74"/>
      <c r="D384" s="378" t="s">
        <v>61</v>
      </c>
      <c r="E384" s="379"/>
      <c r="F384" s="380"/>
      <c r="G384" s="384" t="s">
        <v>62</v>
      </c>
      <c r="H384" s="385"/>
      <c r="I384" s="385"/>
      <c r="J384" s="385"/>
      <c r="K384" s="385"/>
      <c r="L384" s="385"/>
      <c r="M384" s="385"/>
      <c r="N384" s="385"/>
      <c r="O384" s="386"/>
      <c r="P384" s="390" t="s">
        <v>56</v>
      </c>
      <c r="Q384" s="390" t="s">
        <v>63</v>
      </c>
      <c r="R384" s="67"/>
      <c r="S384" s="378" t="s">
        <v>61</v>
      </c>
      <c r="T384" s="379"/>
      <c r="U384" s="380"/>
      <c r="V384" s="384" t="s">
        <v>62</v>
      </c>
      <c r="W384" s="385"/>
      <c r="X384" s="385"/>
      <c r="Y384" s="385"/>
      <c r="Z384" s="385"/>
      <c r="AA384" s="385"/>
      <c r="AB384" s="385"/>
      <c r="AC384" s="385"/>
      <c r="AD384" s="386"/>
      <c r="AE384" s="390" t="s">
        <v>56</v>
      </c>
      <c r="AF384" s="390" t="s">
        <v>63</v>
      </c>
      <c r="AG384" s="95"/>
      <c r="AH384" s="96"/>
      <c r="AI384" s="96"/>
      <c r="AJ384" s="96"/>
      <c r="AK384" s="96"/>
      <c r="AL384" s="96"/>
      <c r="AM384" s="114"/>
      <c r="AN384" s="377" t="s">
        <v>1</v>
      </c>
      <c r="AO384" s="377"/>
      <c r="AP384" s="377" t="s">
        <v>2</v>
      </c>
      <c r="AQ384" s="377"/>
      <c r="AR384" s="97"/>
      <c r="AU384" s="53"/>
      <c r="AV384" s="53"/>
      <c r="AW384" s="53"/>
    </row>
    <row r="385" spans="2:49" ht="13.5" thickBot="1" x14ac:dyDescent="0.25">
      <c r="B385" s="74"/>
      <c r="C385" s="74"/>
      <c r="D385" s="381"/>
      <c r="E385" s="382"/>
      <c r="F385" s="383"/>
      <c r="G385" s="387"/>
      <c r="H385" s="388"/>
      <c r="I385" s="388"/>
      <c r="J385" s="388"/>
      <c r="K385" s="388"/>
      <c r="L385" s="388"/>
      <c r="M385" s="388"/>
      <c r="N385" s="388"/>
      <c r="O385" s="389"/>
      <c r="P385" s="391"/>
      <c r="Q385" s="391"/>
      <c r="R385" s="67"/>
      <c r="S385" s="381"/>
      <c r="T385" s="382"/>
      <c r="U385" s="383"/>
      <c r="V385" s="387"/>
      <c r="W385" s="388"/>
      <c r="X385" s="388"/>
      <c r="Y385" s="388"/>
      <c r="Z385" s="388"/>
      <c r="AA385" s="388"/>
      <c r="AB385" s="388"/>
      <c r="AC385" s="388"/>
      <c r="AD385" s="389"/>
      <c r="AE385" s="391"/>
      <c r="AF385" s="391"/>
      <c r="AG385" s="98"/>
      <c r="AH385" s="67"/>
      <c r="AI385" s="99" t="s">
        <v>64</v>
      </c>
      <c r="AJ385" s="99"/>
      <c r="AK385" s="99"/>
      <c r="AL385" s="99"/>
      <c r="AM385" s="99"/>
      <c r="AN385" s="99"/>
      <c r="AO385" s="100"/>
      <c r="AP385" s="100"/>
      <c r="AQ385" s="101"/>
      <c r="AR385" s="97"/>
      <c r="AU385" s="53"/>
      <c r="AV385" s="53"/>
      <c r="AW385" s="53"/>
    </row>
    <row r="386" spans="2:49" ht="13.5" customHeight="1" x14ac:dyDescent="0.2">
      <c r="B386" s="74"/>
      <c r="C386" s="74"/>
      <c r="D386" s="216"/>
      <c r="E386" s="209"/>
      <c r="F386" s="210"/>
      <c r="G386" s="211" t="s">
        <v>65</v>
      </c>
      <c r="H386" s="212"/>
      <c r="I386" s="212"/>
      <c r="J386" s="212"/>
      <c r="K386" s="212"/>
      <c r="L386" s="212"/>
      <c r="M386" s="212"/>
      <c r="N386" s="212"/>
      <c r="O386" s="213"/>
      <c r="P386" s="214"/>
      <c r="Q386" s="214"/>
      <c r="R386" s="215"/>
      <c r="S386" s="216"/>
      <c r="T386" s="209"/>
      <c r="U386" s="210"/>
      <c r="V386" s="211" t="s">
        <v>65</v>
      </c>
      <c r="W386" s="212"/>
      <c r="X386" s="212"/>
      <c r="Y386" s="212"/>
      <c r="Z386" s="212"/>
      <c r="AA386" s="212"/>
      <c r="AB386" s="212"/>
      <c r="AC386" s="212"/>
      <c r="AD386" s="213"/>
      <c r="AE386" s="214"/>
      <c r="AF386" s="214"/>
      <c r="AG386" s="365" t="s">
        <v>83</v>
      </c>
      <c r="AH386" s="366"/>
      <c r="AI386" s="366"/>
      <c r="AJ386" s="367"/>
      <c r="AK386" s="371" t="s">
        <v>66</v>
      </c>
      <c r="AL386" s="372"/>
      <c r="AM386" s="372"/>
      <c r="AN386" s="372"/>
      <c r="AO386" s="372"/>
      <c r="AP386" s="372"/>
      <c r="AQ386" s="373"/>
      <c r="AU386" s="53"/>
      <c r="AV386" s="53"/>
      <c r="AW386" s="53"/>
    </row>
    <row r="387" spans="2:49" ht="13.5" customHeight="1" thickBot="1" x14ac:dyDescent="0.25">
      <c r="B387" s="74"/>
      <c r="C387" s="74"/>
      <c r="D387" s="216"/>
      <c r="E387" s="209"/>
      <c r="F387" s="210"/>
      <c r="G387" s="217">
        <v>2</v>
      </c>
      <c r="H387" s="209"/>
      <c r="I387" s="209"/>
      <c r="J387" s="209"/>
      <c r="K387" s="209"/>
      <c r="L387" s="209"/>
      <c r="M387" s="209"/>
      <c r="N387" s="209"/>
      <c r="O387" s="210"/>
      <c r="P387" s="214"/>
      <c r="Q387" s="214"/>
      <c r="R387" s="215"/>
      <c r="S387" s="216"/>
      <c r="T387" s="209"/>
      <c r="U387" s="210"/>
      <c r="V387" s="217">
        <v>2</v>
      </c>
      <c r="W387" s="209"/>
      <c r="X387" s="209"/>
      <c r="Y387" s="209"/>
      <c r="Z387" s="209"/>
      <c r="AA387" s="209"/>
      <c r="AB387" s="209"/>
      <c r="AC387" s="209"/>
      <c r="AD387" s="210"/>
      <c r="AE387" s="214"/>
      <c r="AF387" s="214"/>
      <c r="AG387" s="368"/>
      <c r="AH387" s="369"/>
      <c r="AI387" s="369"/>
      <c r="AJ387" s="370"/>
      <c r="AK387" s="374"/>
      <c r="AL387" s="375"/>
      <c r="AM387" s="375"/>
      <c r="AN387" s="375"/>
      <c r="AO387" s="375"/>
      <c r="AP387" s="375"/>
      <c r="AQ387" s="376"/>
      <c r="AU387" s="53"/>
      <c r="AV387" s="53"/>
      <c r="AW387" s="53"/>
    </row>
    <row r="388" spans="2:49" ht="13.5" customHeight="1" x14ac:dyDescent="0.2">
      <c r="B388" s="74"/>
      <c r="C388" s="74"/>
      <c r="D388" s="216"/>
      <c r="E388" s="209"/>
      <c r="F388" s="210"/>
      <c r="G388" s="217">
        <v>3</v>
      </c>
      <c r="H388" s="209"/>
      <c r="I388" s="209"/>
      <c r="J388" s="209"/>
      <c r="K388" s="209"/>
      <c r="L388" s="209"/>
      <c r="M388" s="209"/>
      <c r="N388" s="209"/>
      <c r="O388" s="210"/>
      <c r="P388" s="214"/>
      <c r="Q388" s="214"/>
      <c r="R388" s="215"/>
      <c r="S388" s="216"/>
      <c r="T388" s="209"/>
      <c r="U388" s="210"/>
      <c r="V388" s="217">
        <v>3</v>
      </c>
      <c r="W388" s="209"/>
      <c r="X388" s="209"/>
      <c r="Y388" s="209"/>
      <c r="Z388" s="209"/>
      <c r="AA388" s="209"/>
      <c r="AB388" s="209"/>
      <c r="AC388" s="209"/>
      <c r="AD388" s="210"/>
      <c r="AE388" s="214"/>
      <c r="AF388" s="214"/>
      <c r="AG388" s="365" t="s">
        <v>2</v>
      </c>
      <c r="AH388" s="366"/>
      <c r="AI388" s="366"/>
      <c r="AJ388" s="367"/>
      <c r="AK388" s="371" t="s">
        <v>66</v>
      </c>
      <c r="AL388" s="372"/>
      <c r="AM388" s="372"/>
      <c r="AN388" s="372"/>
      <c r="AO388" s="372"/>
      <c r="AP388" s="372"/>
      <c r="AQ388" s="373"/>
      <c r="AU388" s="53"/>
      <c r="AV388" s="53"/>
      <c r="AW388" s="53"/>
    </row>
    <row r="389" spans="2:49" ht="13.5" customHeight="1" thickBot="1" x14ac:dyDescent="0.25">
      <c r="B389" s="74"/>
      <c r="C389" s="74"/>
      <c r="D389" s="216"/>
      <c r="E389" s="209"/>
      <c r="F389" s="210"/>
      <c r="G389" s="217">
        <v>4</v>
      </c>
      <c r="H389" s="209"/>
      <c r="I389" s="209"/>
      <c r="J389" s="209"/>
      <c r="K389" s="209"/>
      <c r="L389" s="209"/>
      <c r="M389" s="209"/>
      <c r="N389" s="209"/>
      <c r="O389" s="210"/>
      <c r="P389" s="214"/>
      <c r="Q389" s="214"/>
      <c r="R389" s="215"/>
      <c r="S389" s="216"/>
      <c r="T389" s="209"/>
      <c r="U389" s="210"/>
      <c r="V389" s="217">
        <v>4</v>
      </c>
      <c r="W389" s="209"/>
      <c r="X389" s="209"/>
      <c r="Y389" s="209"/>
      <c r="Z389" s="209"/>
      <c r="AA389" s="209"/>
      <c r="AB389" s="209"/>
      <c r="AC389" s="209"/>
      <c r="AD389" s="210"/>
      <c r="AE389" s="214"/>
      <c r="AF389" s="214"/>
      <c r="AG389" s="368"/>
      <c r="AH389" s="369"/>
      <c r="AI389" s="369"/>
      <c r="AJ389" s="370"/>
      <c r="AK389" s="374"/>
      <c r="AL389" s="375"/>
      <c r="AM389" s="375"/>
      <c r="AN389" s="375"/>
      <c r="AO389" s="375"/>
      <c r="AP389" s="375"/>
      <c r="AQ389" s="376"/>
      <c r="AU389" s="53"/>
      <c r="AV389" s="53"/>
      <c r="AW389" s="53"/>
    </row>
    <row r="390" spans="2:49" ht="13.5" customHeight="1" x14ac:dyDescent="0.2">
      <c r="B390" s="74"/>
      <c r="C390" s="74"/>
      <c r="D390" s="216"/>
      <c r="E390" s="209"/>
      <c r="F390" s="210"/>
      <c r="G390" s="217">
        <v>5</v>
      </c>
      <c r="H390" s="209"/>
      <c r="I390" s="209"/>
      <c r="J390" s="209"/>
      <c r="K390" s="209"/>
      <c r="L390" s="209"/>
      <c r="M390" s="209"/>
      <c r="N390" s="209"/>
      <c r="O390" s="210"/>
      <c r="P390" s="214"/>
      <c r="Q390" s="214"/>
      <c r="R390" s="215"/>
      <c r="S390" s="216"/>
      <c r="T390" s="209"/>
      <c r="U390" s="210"/>
      <c r="V390" s="217">
        <v>5</v>
      </c>
      <c r="W390" s="209"/>
      <c r="X390" s="209"/>
      <c r="Y390" s="209"/>
      <c r="Z390" s="209"/>
      <c r="AA390" s="209"/>
      <c r="AB390" s="209"/>
      <c r="AC390" s="209"/>
      <c r="AD390" s="210"/>
      <c r="AE390" s="214"/>
      <c r="AF390" s="214"/>
      <c r="AG390" s="102" t="s">
        <v>67</v>
      </c>
      <c r="AH390" s="70"/>
      <c r="AI390" s="70"/>
      <c r="AJ390" s="70"/>
      <c r="AK390" s="70"/>
      <c r="AL390" s="70"/>
      <c r="AM390" s="70"/>
      <c r="AN390" s="70"/>
      <c r="AO390" s="70" t="s">
        <v>68</v>
      </c>
      <c r="AP390" s="70"/>
      <c r="AQ390" s="79"/>
      <c r="AU390" s="53"/>
      <c r="AV390" s="53"/>
      <c r="AW390" s="53"/>
    </row>
    <row r="391" spans="2:49" ht="13.5" customHeight="1" x14ac:dyDescent="0.2">
      <c r="B391" s="74"/>
      <c r="C391" s="74"/>
      <c r="D391" s="216"/>
      <c r="E391" s="209"/>
      <c r="F391" s="210"/>
      <c r="G391" s="217">
        <v>6</v>
      </c>
      <c r="H391" s="209"/>
      <c r="I391" s="209"/>
      <c r="J391" s="209"/>
      <c r="K391" s="209"/>
      <c r="L391" s="209"/>
      <c r="M391" s="209"/>
      <c r="N391" s="209"/>
      <c r="O391" s="210"/>
      <c r="P391" s="214"/>
      <c r="Q391" s="214"/>
      <c r="R391" s="215"/>
      <c r="S391" s="216"/>
      <c r="T391" s="209"/>
      <c r="U391" s="210"/>
      <c r="V391" s="217">
        <v>6</v>
      </c>
      <c r="W391" s="209"/>
      <c r="X391" s="209"/>
      <c r="Y391" s="209"/>
      <c r="Z391" s="209"/>
      <c r="AA391" s="209"/>
      <c r="AB391" s="209"/>
      <c r="AC391" s="209"/>
      <c r="AD391" s="210"/>
      <c r="AE391" s="214"/>
      <c r="AF391" s="214"/>
      <c r="AG391" s="103"/>
      <c r="AH391" s="67"/>
      <c r="AI391" s="67"/>
      <c r="AJ391" s="67"/>
      <c r="AK391" s="67"/>
      <c r="AL391" s="67"/>
      <c r="AM391" s="67"/>
      <c r="AN391" s="67"/>
      <c r="AO391" s="67"/>
      <c r="AP391" s="67"/>
      <c r="AQ391" s="81"/>
      <c r="AU391" s="53"/>
      <c r="AV391" s="53"/>
      <c r="AW391" s="53"/>
    </row>
    <row r="392" spans="2:49" ht="13.5" customHeight="1" thickBot="1" x14ac:dyDescent="0.25">
      <c r="B392" s="74"/>
      <c r="C392" s="74"/>
      <c r="D392" s="216"/>
      <c r="E392" s="209"/>
      <c r="F392" s="210"/>
      <c r="G392" s="217">
        <v>7</v>
      </c>
      <c r="H392" s="209"/>
      <c r="I392" s="209"/>
      <c r="J392" s="209"/>
      <c r="K392" s="209"/>
      <c r="L392" s="209"/>
      <c r="M392" s="209"/>
      <c r="N392" s="209"/>
      <c r="O392" s="210"/>
      <c r="P392" s="214"/>
      <c r="Q392" s="214"/>
      <c r="R392" s="215"/>
      <c r="S392" s="216"/>
      <c r="T392" s="209"/>
      <c r="U392" s="210"/>
      <c r="V392" s="217">
        <v>7</v>
      </c>
      <c r="W392" s="209"/>
      <c r="X392" s="209"/>
      <c r="Y392" s="209"/>
      <c r="Z392" s="209"/>
      <c r="AA392" s="209"/>
      <c r="AB392" s="209"/>
      <c r="AC392" s="209"/>
      <c r="AD392" s="210"/>
      <c r="AE392" s="214"/>
      <c r="AF392" s="214"/>
      <c r="AG392" s="74" t="s">
        <v>69</v>
      </c>
      <c r="AH392" s="67"/>
      <c r="AI392" s="67"/>
      <c r="AJ392" s="67"/>
      <c r="AK392" s="67"/>
      <c r="AL392" s="67"/>
      <c r="AM392" s="67"/>
      <c r="AN392" s="67"/>
      <c r="AO392" s="67"/>
      <c r="AP392" s="67"/>
      <c r="AQ392" s="81"/>
      <c r="AU392" s="53"/>
      <c r="AV392" s="53"/>
      <c r="AW392" s="53"/>
    </row>
    <row r="393" spans="2:49" ht="13.5" customHeight="1" thickBot="1" x14ac:dyDescent="0.25">
      <c r="B393" s="74"/>
      <c r="C393" s="74"/>
      <c r="D393" s="222"/>
      <c r="E393" s="218"/>
      <c r="F393" s="219"/>
      <c r="G393" s="220">
        <v>8</v>
      </c>
      <c r="H393" s="218"/>
      <c r="I393" s="218"/>
      <c r="J393" s="218"/>
      <c r="K393" s="218"/>
      <c r="L393" s="218"/>
      <c r="M393" s="218"/>
      <c r="N393" s="218"/>
      <c r="O393" s="219"/>
      <c r="P393" s="221"/>
      <c r="Q393" s="221"/>
      <c r="R393" s="215"/>
      <c r="S393" s="222"/>
      <c r="T393" s="218"/>
      <c r="U393" s="219"/>
      <c r="V393" s="220">
        <v>8</v>
      </c>
      <c r="W393" s="218"/>
      <c r="X393" s="218"/>
      <c r="Y393" s="218"/>
      <c r="Z393" s="218"/>
      <c r="AA393" s="218"/>
      <c r="AB393" s="218"/>
      <c r="AC393" s="218"/>
      <c r="AD393" s="219"/>
      <c r="AE393" s="221"/>
      <c r="AF393" s="221"/>
      <c r="AG393" s="104" t="s">
        <v>70</v>
      </c>
      <c r="AH393" s="70"/>
      <c r="AI393" s="70"/>
      <c r="AJ393" s="70"/>
      <c r="AK393" s="70"/>
      <c r="AL393" s="70"/>
      <c r="AM393" s="70"/>
      <c r="AN393" s="70"/>
      <c r="AO393" s="70"/>
      <c r="AP393" s="70"/>
      <c r="AQ393" s="79"/>
      <c r="AU393" s="53"/>
      <c r="AV393" s="53"/>
      <c r="AW393" s="53"/>
    </row>
    <row r="394" spans="2:49" ht="13.5" customHeight="1" thickBot="1" x14ac:dyDescent="0.25">
      <c r="B394" s="74"/>
      <c r="C394" s="74"/>
      <c r="D394" s="89"/>
      <c r="E394" s="105"/>
      <c r="F394" s="105"/>
      <c r="G394" s="105"/>
      <c r="H394" s="105"/>
      <c r="I394" s="105"/>
      <c r="J394" s="106" t="s">
        <v>71</v>
      </c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7"/>
      <c r="AG394" s="84" t="s">
        <v>72</v>
      </c>
      <c r="AH394" s="67"/>
      <c r="AI394" s="67"/>
      <c r="AJ394" s="67"/>
      <c r="AK394" s="67"/>
      <c r="AL394" s="67"/>
      <c r="AM394" s="67"/>
      <c r="AN394" s="67"/>
      <c r="AO394" s="67"/>
      <c r="AP394" s="67"/>
      <c r="AQ394" s="81"/>
      <c r="AU394" s="53"/>
      <c r="AV394" s="53"/>
      <c r="AW394" s="53"/>
    </row>
    <row r="395" spans="2:49" ht="13.5" customHeight="1" thickBot="1" x14ac:dyDescent="0.25">
      <c r="B395" s="74"/>
      <c r="C395" s="74"/>
      <c r="D395" s="108" t="s">
        <v>73</v>
      </c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7"/>
      <c r="S395" s="108" t="s">
        <v>74</v>
      </c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7"/>
      <c r="AG395" s="109" t="s">
        <v>75</v>
      </c>
      <c r="AH395" s="110"/>
      <c r="AI395" s="110"/>
      <c r="AJ395" s="110"/>
      <c r="AK395" s="110"/>
      <c r="AL395" s="87"/>
      <c r="AM395" s="111" t="s">
        <v>76</v>
      </c>
      <c r="AN395" s="110"/>
      <c r="AO395" s="110"/>
      <c r="AP395" s="110"/>
      <c r="AQ395" s="87"/>
      <c r="AU395" s="53"/>
      <c r="AV395" s="53"/>
      <c r="AW395" s="53"/>
    </row>
    <row r="396" spans="2:49" ht="17.25" customHeight="1" thickBot="1" x14ac:dyDescent="0.25">
      <c r="B396" s="72"/>
      <c r="C396" s="72"/>
      <c r="D396" s="108" t="s">
        <v>77</v>
      </c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7"/>
      <c r="S396" s="108" t="s">
        <v>6</v>
      </c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7"/>
      <c r="AG396" s="112" t="s">
        <v>78</v>
      </c>
      <c r="AH396" s="73"/>
      <c r="AI396" s="73"/>
      <c r="AJ396" s="73"/>
      <c r="AK396" s="73"/>
      <c r="AL396" s="87"/>
      <c r="AM396" s="113" t="s">
        <v>79</v>
      </c>
      <c r="AN396" s="73"/>
      <c r="AO396" s="73"/>
      <c r="AP396" s="73"/>
      <c r="AQ396" s="87"/>
      <c r="AU396" s="53"/>
      <c r="AV396" s="53"/>
      <c r="AW396" s="53"/>
    </row>
    <row r="397" spans="2:49" ht="13.5" thickBot="1" x14ac:dyDescent="0.25">
      <c r="AU397" s="53"/>
      <c r="AV397" s="53"/>
      <c r="AW397" s="53"/>
    </row>
    <row r="398" spans="2:49" ht="17.25" customHeight="1" x14ac:dyDescent="0.25">
      <c r="B398" s="68"/>
      <c r="C398" s="68"/>
      <c r="D398" s="69" t="s">
        <v>44</v>
      </c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1" t="s">
        <v>89</v>
      </c>
      <c r="Z398" s="70"/>
      <c r="AA398" s="70"/>
      <c r="AB398" s="70"/>
      <c r="AC398" s="70"/>
      <c r="AD398" s="70"/>
      <c r="AE398" s="70"/>
      <c r="AF398" s="70"/>
      <c r="AG398" s="70"/>
      <c r="AH398" s="441" t="s">
        <v>45</v>
      </c>
      <c r="AI398" s="442"/>
      <c r="AJ398" s="442"/>
      <c r="AK398" s="442"/>
      <c r="AL398" s="442"/>
      <c r="AM398" s="443">
        <f>IF(($AU$9+12)&gt;$AX$9,"",VLOOKUP($AU$9+12,Spielplan,3,0))</f>
        <v>0.17013888888888887</v>
      </c>
      <c r="AN398" s="443"/>
      <c r="AO398" s="443"/>
      <c r="AP398" s="443"/>
      <c r="AQ398" s="444"/>
      <c r="AU398" s="53"/>
      <c r="AV398" s="53"/>
      <c r="AW398" s="53"/>
    </row>
    <row r="399" spans="2:49" ht="0.75" customHeight="1" thickBot="1" x14ac:dyDescent="0.25">
      <c r="B399" s="72"/>
      <c r="C399" s="72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4"/>
      <c r="AI399" s="67"/>
      <c r="AJ399" s="67"/>
      <c r="AK399" s="67"/>
      <c r="AL399" s="67"/>
      <c r="AM399" s="75"/>
      <c r="AN399" s="75"/>
      <c r="AO399" s="75"/>
      <c r="AP399" s="75"/>
      <c r="AQ399" s="76"/>
      <c r="AU399" s="53"/>
      <c r="AV399" s="53"/>
      <c r="AW399" s="53"/>
    </row>
    <row r="400" spans="2:49" ht="15" x14ac:dyDescent="0.25">
      <c r="B400" s="68"/>
      <c r="C400" s="77"/>
      <c r="D400" s="68"/>
      <c r="E400" s="78" t="s">
        <v>6</v>
      </c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9"/>
      <c r="S400" s="439" t="s">
        <v>46</v>
      </c>
      <c r="T400" s="440"/>
      <c r="U400" s="440"/>
      <c r="V400" s="440"/>
      <c r="W400" s="440"/>
      <c r="X400" s="440"/>
      <c r="Y400" s="366" t="str">
        <f>IF(($AU$9+12)&gt;$AX$9,"","SHTV")</f>
        <v>SHTV</v>
      </c>
      <c r="Z400" s="366"/>
      <c r="AA400" s="366"/>
      <c r="AB400" s="366"/>
      <c r="AC400" s="366"/>
      <c r="AD400" s="366"/>
      <c r="AE400" s="366"/>
      <c r="AF400" s="366"/>
      <c r="AG400" s="366"/>
      <c r="AH400" s="430" t="s">
        <v>47</v>
      </c>
      <c r="AI400" s="431"/>
      <c r="AJ400" s="431"/>
      <c r="AK400" s="431"/>
      <c r="AL400" s="431"/>
      <c r="AM400" s="434">
        <f>IF(($AU$9+12)&gt;$AX$9,"",VLOOKUP($AU$9+12,Spielplan,4,0))</f>
        <v>8</v>
      </c>
      <c r="AN400" s="435"/>
      <c r="AO400" s="435"/>
      <c r="AP400" s="435"/>
      <c r="AQ400" s="436"/>
      <c r="AU400" s="53"/>
      <c r="AV400" s="53"/>
      <c r="AW400" s="53"/>
    </row>
    <row r="401" spans="2:49" ht="9.9499999999999993" customHeight="1" x14ac:dyDescent="0.2">
      <c r="B401" s="74"/>
      <c r="C401" s="80"/>
      <c r="D401" s="74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81"/>
      <c r="S401" s="423"/>
      <c r="T401" s="406"/>
      <c r="U401" s="406"/>
      <c r="V401" s="406"/>
      <c r="W401" s="406"/>
      <c r="X401" s="406"/>
      <c r="Y401" s="425"/>
      <c r="Z401" s="425"/>
      <c r="AA401" s="425"/>
      <c r="AB401" s="425"/>
      <c r="AC401" s="425"/>
      <c r="AD401" s="425"/>
      <c r="AE401" s="425"/>
      <c r="AF401" s="425"/>
      <c r="AG401" s="425"/>
      <c r="AH401" s="432"/>
      <c r="AI401" s="433"/>
      <c r="AJ401" s="433"/>
      <c r="AK401" s="433"/>
      <c r="AL401" s="433"/>
      <c r="AM401" s="437"/>
      <c r="AN401" s="437"/>
      <c r="AO401" s="437"/>
      <c r="AP401" s="437"/>
      <c r="AQ401" s="438"/>
      <c r="AU401" s="53"/>
      <c r="AV401" s="53"/>
      <c r="AW401" s="53"/>
    </row>
    <row r="402" spans="2:49" ht="13.15" customHeight="1" x14ac:dyDescent="0.2">
      <c r="B402" s="74"/>
      <c r="C402" s="80"/>
      <c r="D402" s="74"/>
      <c r="E402" s="67" t="s">
        <v>48</v>
      </c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81"/>
      <c r="S402" s="422" t="s">
        <v>49</v>
      </c>
      <c r="T402" s="406"/>
      <c r="U402" s="406"/>
      <c r="V402" s="406"/>
      <c r="W402" s="406"/>
      <c r="X402" s="406"/>
      <c r="Y402" s="425">
        <f>IF(($AU$9+12)&gt;$AX$9,"",Platzierung!$U$3)</f>
        <v>0</v>
      </c>
      <c r="Z402" s="425"/>
      <c r="AA402" s="425"/>
      <c r="AB402" s="425"/>
      <c r="AC402" s="425"/>
      <c r="AD402" s="425"/>
      <c r="AE402" s="425"/>
      <c r="AF402" s="425"/>
      <c r="AG402" s="425"/>
      <c r="AH402" s="430" t="s">
        <v>50</v>
      </c>
      <c r="AI402" s="431"/>
      <c r="AJ402" s="431"/>
      <c r="AK402" s="431"/>
      <c r="AL402" s="431"/>
      <c r="AM402" s="434">
        <f>IF(($AU$9+12)&gt;$AX$9,"",VLOOKUP($AU$9+12,Spielplan,6,0))</f>
        <v>13</v>
      </c>
      <c r="AN402" s="435"/>
      <c r="AO402" s="435"/>
      <c r="AP402" s="435"/>
      <c r="AQ402" s="436"/>
      <c r="AU402" s="53"/>
      <c r="AV402" s="53"/>
      <c r="AW402" s="53"/>
    </row>
    <row r="403" spans="2:49" ht="9.9499999999999993" customHeight="1" x14ac:dyDescent="0.2">
      <c r="B403" s="74"/>
      <c r="C403" s="80"/>
      <c r="D403" s="74"/>
      <c r="E403" s="67"/>
      <c r="F403" s="67"/>
      <c r="G403" s="67"/>
      <c r="H403" s="67"/>
      <c r="I403" s="67"/>
      <c r="J403" s="82" t="s">
        <v>51</v>
      </c>
      <c r="K403" s="67"/>
      <c r="L403" s="67"/>
      <c r="M403" s="67"/>
      <c r="N403" s="67"/>
      <c r="O403" s="67"/>
      <c r="P403" s="67"/>
      <c r="Q403" s="67"/>
      <c r="R403" s="81"/>
      <c r="S403" s="423"/>
      <c r="T403" s="406"/>
      <c r="U403" s="406"/>
      <c r="V403" s="406"/>
      <c r="W403" s="406"/>
      <c r="X403" s="406"/>
      <c r="Y403" s="425"/>
      <c r="Z403" s="425"/>
      <c r="AA403" s="425"/>
      <c r="AB403" s="425"/>
      <c r="AC403" s="425"/>
      <c r="AD403" s="425"/>
      <c r="AE403" s="425"/>
      <c r="AF403" s="425"/>
      <c r="AG403" s="425"/>
      <c r="AH403" s="432"/>
      <c r="AI403" s="433"/>
      <c r="AJ403" s="433"/>
      <c r="AK403" s="433"/>
      <c r="AL403" s="433"/>
      <c r="AM403" s="437"/>
      <c r="AN403" s="437"/>
      <c r="AO403" s="437"/>
      <c r="AP403" s="437"/>
      <c r="AQ403" s="438"/>
      <c r="AU403" s="53"/>
      <c r="AV403" s="53"/>
      <c r="AW403" s="53"/>
    </row>
    <row r="404" spans="2:49" ht="15.75" customHeight="1" x14ac:dyDescent="0.2">
      <c r="B404" s="74"/>
      <c r="C404" s="80"/>
      <c r="D404" s="418">
        <f>IF(($AU$9+12)&gt;$AX$9,"",VLOOKUP($AU$9+12,Spielplan,10,0))</f>
        <v>0</v>
      </c>
      <c r="E404" s="419"/>
      <c r="F404" s="419"/>
      <c r="G404" s="419"/>
      <c r="H404" s="419"/>
      <c r="I404" s="419"/>
      <c r="J404" s="419"/>
      <c r="K404" s="419"/>
      <c r="L404" s="419"/>
      <c r="M404" s="419"/>
      <c r="N404" s="419"/>
      <c r="O404" s="419"/>
      <c r="P404" s="419"/>
      <c r="Q404" s="419"/>
      <c r="R404" s="420"/>
      <c r="S404" s="422" t="s">
        <v>52</v>
      </c>
      <c r="T404" s="406"/>
      <c r="U404" s="406"/>
      <c r="V404" s="406"/>
      <c r="W404" s="406"/>
      <c r="X404" s="406"/>
      <c r="Y404" s="424">
        <f>IF(($AU$9+12)&gt;$AX$9,"",VLOOKUP($AU$9+12,Spielplan,2,0))</f>
        <v>0</v>
      </c>
      <c r="Z404" s="425"/>
      <c r="AA404" s="425"/>
      <c r="AB404" s="425"/>
      <c r="AC404" s="425"/>
      <c r="AD404" s="425"/>
      <c r="AE404" s="425"/>
      <c r="AF404" s="425"/>
      <c r="AG404" s="425"/>
      <c r="AH404" s="405" t="s">
        <v>53</v>
      </c>
      <c r="AI404" s="406"/>
      <c r="AJ404" s="406"/>
      <c r="AK404" s="406"/>
      <c r="AL404" s="406"/>
      <c r="AM404" s="400">
        <f>IF(($AU$9+12)&gt;$AX$9,"",VLOOKUP($AU$9+12,Spielplan,5,0))</f>
        <v>2</v>
      </c>
      <c r="AN404" s="401"/>
      <c r="AO404" s="401"/>
      <c r="AP404" s="401"/>
      <c r="AQ404" s="402"/>
      <c r="AU404" s="53"/>
      <c r="AV404" s="53"/>
      <c r="AW404" s="53"/>
    </row>
    <row r="405" spans="2:49" ht="11.1" customHeight="1" thickBot="1" x14ac:dyDescent="0.25">
      <c r="B405" s="74"/>
      <c r="C405" s="80"/>
      <c r="D405" s="421"/>
      <c r="E405" s="419"/>
      <c r="F405" s="419"/>
      <c r="G405" s="419"/>
      <c r="H405" s="419"/>
      <c r="I405" s="419"/>
      <c r="J405" s="419"/>
      <c r="K405" s="419"/>
      <c r="L405" s="419"/>
      <c r="M405" s="419"/>
      <c r="N405" s="419"/>
      <c r="O405" s="419"/>
      <c r="P405" s="419"/>
      <c r="Q405" s="419"/>
      <c r="R405" s="420"/>
      <c r="S405" s="423"/>
      <c r="T405" s="406"/>
      <c r="U405" s="406"/>
      <c r="V405" s="406"/>
      <c r="W405" s="406"/>
      <c r="X405" s="406"/>
      <c r="Y405" s="425"/>
      <c r="Z405" s="425"/>
      <c r="AA405" s="425"/>
      <c r="AB405" s="425"/>
      <c r="AC405" s="425"/>
      <c r="AD405" s="425"/>
      <c r="AE405" s="425"/>
      <c r="AF405" s="425"/>
      <c r="AG405" s="425"/>
      <c r="AH405" s="407"/>
      <c r="AI405" s="408"/>
      <c r="AJ405" s="408"/>
      <c r="AK405" s="408"/>
      <c r="AL405" s="408"/>
      <c r="AM405" s="403"/>
      <c r="AN405" s="403"/>
      <c r="AO405" s="403"/>
      <c r="AP405" s="403"/>
      <c r="AQ405" s="404"/>
      <c r="AU405" s="53"/>
      <c r="AV405" s="53"/>
      <c r="AW405" s="53"/>
    </row>
    <row r="406" spans="2:49" ht="11.1" customHeight="1" thickBot="1" x14ac:dyDescent="0.25">
      <c r="B406" s="74"/>
      <c r="C406" s="80"/>
      <c r="D406" s="72"/>
      <c r="E406" s="73"/>
      <c r="F406" s="73"/>
      <c r="G406" s="73"/>
      <c r="H406" s="73"/>
      <c r="I406" s="73"/>
      <c r="J406" s="73" t="s">
        <v>54</v>
      </c>
      <c r="K406" s="73"/>
      <c r="L406" s="73"/>
      <c r="M406" s="73"/>
      <c r="N406" s="73"/>
      <c r="O406" s="67"/>
      <c r="P406" s="67"/>
      <c r="Q406" s="73"/>
      <c r="R406" s="83"/>
      <c r="S406" s="74"/>
      <c r="T406" s="67"/>
      <c r="U406" s="67"/>
      <c r="V406" s="67"/>
      <c r="W406" s="67"/>
      <c r="X406" s="67"/>
      <c r="Y406" s="409"/>
      <c r="Z406" s="409"/>
      <c r="AA406" s="409"/>
      <c r="AB406" s="409"/>
      <c r="AC406" s="409"/>
      <c r="AD406" s="409"/>
      <c r="AE406" s="409"/>
      <c r="AF406" s="410"/>
      <c r="AG406" s="411"/>
      <c r="AH406" s="84" t="s">
        <v>55</v>
      </c>
      <c r="AI406" s="67"/>
      <c r="AJ406" s="67"/>
      <c r="AK406" s="67"/>
      <c r="AL406" s="67"/>
      <c r="AM406" s="67"/>
      <c r="AN406" s="67"/>
      <c r="AO406" s="85"/>
      <c r="AP406" s="67"/>
      <c r="AQ406" s="81"/>
      <c r="AU406" s="53"/>
      <c r="AV406" s="53"/>
      <c r="AW406" s="53"/>
    </row>
    <row r="407" spans="2:49" ht="13.5" customHeight="1" thickBot="1" x14ac:dyDescent="0.3">
      <c r="B407" s="74"/>
      <c r="C407" s="80"/>
      <c r="D407" s="68"/>
      <c r="E407" s="78" t="s">
        <v>8</v>
      </c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412" t="s">
        <v>56</v>
      </c>
      <c r="R407" s="68"/>
      <c r="S407" s="68"/>
      <c r="T407" s="78" t="s">
        <v>7</v>
      </c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9"/>
      <c r="AF407" s="415" t="s">
        <v>56</v>
      </c>
      <c r="AG407" s="74"/>
      <c r="AH407" s="86" t="s">
        <v>57</v>
      </c>
      <c r="AI407" s="73"/>
      <c r="AJ407" s="73"/>
      <c r="AK407" s="73"/>
      <c r="AL407" s="73"/>
      <c r="AM407" s="73"/>
      <c r="AN407" s="73"/>
      <c r="AO407" s="87"/>
      <c r="AP407" s="67"/>
      <c r="AQ407" s="81"/>
      <c r="AU407" s="53"/>
      <c r="AV407" s="53"/>
      <c r="AW407" s="53"/>
    </row>
    <row r="408" spans="2:49" ht="12" customHeight="1" thickBot="1" x14ac:dyDescent="0.25">
      <c r="B408" s="74"/>
      <c r="C408" s="80"/>
      <c r="D408" s="418">
        <f>IF(($AU$9+12)&gt;$AX$9,"",VLOOKUP($AU$9+12,Spielplan,7,0))</f>
        <v>0</v>
      </c>
      <c r="E408" s="419"/>
      <c r="F408" s="419"/>
      <c r="G408" s="419"/>
      <c r="H408" s="419"/>
      <c r="I408" s="419"/>
      <c r="J408" s="419"/>
      <c r="K408" s="419"/>
      <c r="L408" s="419"/>
      <c r="M408" s="419"/>
      <c r="N408" s="419"/>
      <c r="O408" s="419"/>
      <c r="P408" s="420"/>
      <c r="Q408" s="413"/>
      <c r="R408" s="74"/>
      <c r="S408" s="418">
        <f>IF(($AU$9+12)&gt;$AX$9,"",VLOOKUP($AU$9+12,Spielplan,9,0))</f>
        <v>0</v>
      </c>
      <c r="T408" s="419"/>
      <c r="U408" s="419"/>
      <c r="V408" s="419"/>
      <c r="W408" s="419"/>
      <c r="X408" s="419"/>
      <c r="Y408" s="419"/>
      <c r="Z408" s="419"/>
      <c r="AA408" s="419"/>
      <c r="AB408" s="419"/>
      <c r="AC408" s="419"/>
      <c r="AD408" s="419"/>
      <c r="AE408" s="429"/>
      <c r="AF408" s="416"/>
      <c r="AG408" s="74"/>
      <c r="AH408" s="394" t="s">
        <v>58</v>
      </c>
      <c r="AI408" s="395"/>
      <c r="AJ408" s="395"/>
      <c r="AK408" s="395"/>
      <c r="AL408" s="395"/>
      <c r="AM408" s="396"/>
      <c r="AN408" s="88" t="s">
        <v>59</v>
      </c>
      <c r="AO408" s="89"/>
      <c r="AP408" s="89"/>
      <c r="AQ408" s="87"/>
      <c r="AU408" s="53"/>
      <c r="AV408" s="53"/>
      <c r="AW408" s="53"/>
    </row>
    <row r="409" spans="2:49" ht="12" customHeight="1" thickBot="1" x14ac:dyDescent="0.25">
      <c r="B409" s="72"/>
      <c r="C409" s="85"/>
      <c r="D409" s="426"/>
      <c r="E409" s="427"/>
      <c r="F409" s="427"/>
      <c r="G409" s="427"/>
      <c r="H409" s="427"/>
      <c r="I409" s="427"/>
      <c r="J409" s="427"/>
      <c r="K409" s="427"/>
      <c r="L409" s="427"/>
      <c r="M409" s="427"/>
      <c r="N409" s="427"/>
      <c r="O409" s="427"/>
      <c r="P409" s="428"/>
      <c r="Q409" s="414"/>
      <c r="R409" s="72"/>
      <c r="S409" s="426"/>
      <c r="T409" s="427"/>
      <c r="U409" s="427"/>
      <c r="V409" s="427"/>
      <c r="W409" s="427"/>
      <c r="X409" s="427"/>
      <c r="Y409" s="427"/>
      <c r="Z409" s="427"/>
      <c r="AA409" s="427"/>
      <c r="AB409" s="427"/>
      <c r="AC409" s="427"/>
      <c r="AD409" s="427"/>
      <c r="AE409" s="389"/>
      <c r="AF409" s="417"/>
      <c r="AG409" s="72"/>
      <c r="AH409" s="397"/>
      <c r="AI409" s="398"/>
      <c r="AJ409" s="398"/>
      <c r="AK409" s="398"/>
      <c r="AL409" s="398"/>
      <c r="AM409" s="399"/>
      <c r="AN409" s="88" t="s">
        <v>60</v>
      </c>
      <c r="AO409" s="89"/>
      <c r="AP409" s="89"/>
      <c r="AQ409" s="87"/>
      <c r="AU409" s="53"/>
      <c r="AV409" s="53"/>
      <c r="AW409" s="53"/>
    </row>
    <row r="410" spans="2:49" ht="9.9499999999999993" customHeight="1" thickBot="1" x14ac:dyDescent="0.25">
      <c r="B410" s="74"/>
      <c r="C410" s="7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81"/>
      <c r="AU410" s="53"/>
      <c r="AV410" s="53"/>
      <c r="AW410" s="53"/>
    </row>
    <row r="411" spans="2:49" x14ac:dyDescent="0.2">
      <c r="B411" s="68"/>
      <c r="C411" s="77" t="s">
        <v>59</v>
      </c>
      <c r="D411" s="90"/>
      <c r="E411" s="91"/>
      <c r="F411" s="91"/>
      <c r="G411" s="91"/>
      <c r="H411" s="92"/>
      <c r="I411" s="90"/>
      <c r="J411" s="91"/>
      <c r="K411" s="91"/>
      <c r="L411" s="91"/>
      <c r="M411" s="92"/>
      <c r="N411" s="90"/>
      <c r="O411" s="91"/>
      <c r="P411" s="91"/>
      <c r="Q411" s="91"/>
      <c r="R411" s="92"/>
      <c r="S411" s="90"/>
      <c r="T411" s="91"/>
      <c r="U411" s="91"/>
      <c r="V411" s="91"/>
      <c r="W411" s="92"/>
      <c r="X411" s="90"/>
      <c r="Y411" s="91"/>
      <c r="Z411" s="91"/>
      <c r="AA411" s="91"/>
      <c r="AB411" s="92"/>
      <c r="AC411" s="90"/>
      <c r="AD411" s="91"/>
      <c r="AE411" s="91"/>
      <c r="AF411" s="91"/>
      <c r="AG411" s="92"/>
      <c r="AH411" s="90"/>
      <c r="AI411" s="91"/>
      <c r="AJ411" s="91"/>
      <c r="AK411" s="91"/>
      <c r="AL411" s="91"/>
      <c r="AM411" s="206" t="s">
        <v>59</v>
      </c>
      <c r="AN411" s="392"/>
      <c r="AO411" s="392"/>
      <c r="AP411" s="392"/>
      <c r="AQ411" s="393"/>
      <c r="AU411" s="53"/>
      <c r="AV411" s="53"/>
      <c r="AW411" s="53"/>
    </row>
    <row r="412" spans="2:49" ht="13.5" thickBot="1" x14ac:dyDescent="0.25">
      <c r="B412" s="72"/>
      <c r="C412" s="85" t="s">
        <v>60</v>
      </c>
      <c r="D412" s="72"/>
      <c r="E412" s="93"/>
      <c r="F412" s="93"/>
      <c r="G412" s="93"/>
      <c r="H412" s="94"/>
      <c r="I412" s="72"/>
      <c r="J412" s="93"/>
      <c r="K412" s="93"/>
      <c r="L412" s="93"/>
      <c r="M412" s="94"/>
      <c r="N412" s="72"/>
      <c r="O412" s="93"/>
      <c r="P412" s="93"/>
      <c r="Q412" s="93"/>
      <c r="R412" s="94"/>
      <c r="S412" s="72"/>
      <c r="T412" s="93"/>
      <c r="U412" s="93"/>
      <c r="V412" s="93"/>
      <c r="W412" s="94"/>
      <c r="X412" s="72"/>
      <c r="Y412" s="93"/>
      <c r="Z412" s="93"/>
      <c r="AA412" s="93"/>
      <c r="AB412" s="94"/>
      <c r="AC412" s="72"/>
      <c r="AD412" s="93"/>
      <c r="AE412" s="93"/>
      <c r="AF412" s="93"/>
      <c r="AG412" s="94"/>
      <c r="AH412" s="72"/>
      <c r="AI412" s="93"/>
      <c r="AJ412" s="93"/>
      <c r="AK412" s="93"/>
      <c r="AL412" s="93"/>
      <c r="AM412" s="208" t="s">
        <v>60</v>
      </c>
      <c r="AN412" s="326"/>
      <c r="AO412" s="326"/>
      <c r="AP412" s="326"/>
      <c r="AQ412" s="327"/>
      <c r="AU412" s="53"/>
      <c r="AV412" s="53"/>
      <c r="AW412" s="53"/>
    </row>
    <row r="413" spans="2:49" x14ac:dyDescent="0.2">
      <c r="B413" s="68"/>
      <c r="C413" s="77" t="s">
        <v>59</v>
      </c>
      <c r="D413" s="90"/>
      <c r="E413" s="91"/>
      <c r="F413" s="91"/>
      <c r="G413" s="91"/>
      <c r="H413" s="92"/>
      <c r="I413" s="90"/>
      <c r="J413" s="91"/>
      <c r="K413" s="91"/>
      <c r="L413" s="91"/>
      <c r="M413" s="92"/>
      <c r="N413" s="90"/>
      <c r="O413" s="91"/>
      <c r="P413" s="91"/>
      <c r="Q413" s="91"/>
      <c r="R413" s="92"/>
      <c r="S413" s="90"/>
      <c r="T413" s="91"/>
      <c r="U413" s="91"/>
      <c r="V413" s="91"/>
      <c r="W413" s="92"/>
      <c r="X413" s="90"/>
      <c r="Y413" s="91"/>
      <c r="Z413" s="91"/>
      <c r="AA413" s="91"/>
      <c r="AB413" s="92"/>
      <c r="AC413" s="90"/>
      <c r="AD413" s="91"/>
      <c r="AE413" s="91"/>
      <c r="AF413" s="91"/>
      <c r="AG413" s="92"/>
      <c r="AH413" s="90"/>
      <c r="AI413" s="91"/>
      <c r="AJ413" s="91"/>
      <c r="AK413" s="91"/>
      <c r="AL413" s="91"/>
      <c r="AM413" s="206" t="s">
        <v>59</v>
      </c>
      <c r="AN413" s="392"/>
      <c r="AO413" s="392"/>
      <c r="AP413" s="392"/>
      <c r="AQ413" s="393"/>
      <c r="AU413" s="53"/>
      <c r="AV413" s="53"/>
      <c r="AW413" s="53"/>
    </row>
    <row r="414" spans="2:49" ht="13.5" thickBot="1" x14ac:dyDescent="0.25">
      <c r="B414" s="72"/>
      <c r="C414" s="85" t="s">
        <v>60</v>
      </c>
      <c r="D414" s="72"/>
      <c r="E414" s="93"/>
      <c r="F414" s="93"/>
      <c r="G414" s="93"/>
      <c r="H414" s="94"/>
      <c r="I414" s="72"/>
      <c r="J414" s="93"/>
      <c r="K414" s="93"/>
      <c r="L414" s="93"/>
      <c r="M414" s="94"/>
      <c r="N414" s="72"/>
      <c r="O414" s="93"/>
      <c r="P414" s="93"/>
      <c r="Q414" s="93"/>
      <c r="R414" s="94"/>
      <c r="S414" s="72"/>
      <c r="T414" s="93"/>
      <c r="U414" s="93"/>
      <c r="V414" s="93"/>
      <c r="W414" s="94"/>
      <c r="X414" s="72"/>
      <c r="Y414" s="93"/>
      <c r="Z414" s="93"/>
      <c r="AA414" s="93"/>
      <c r="AB414" s="94"/>
      <c r="AC414" s="72"/>
      <c r="AD414" s="93"/>
      <c r="AE414" s="93"/>
      <c r="AF414" s="93"/>
      <c r="AG414" s="94"/>
      <c r="AH414" s="72"/>
      <c r="AI414" s="93"/>
      <c r="AJ414" s="93"/>
      <c r="AK414" s="93"/>
      <c r="AL414" s="93"/>
      <c r="AM414" s="207" t="s">
        <v>60</v>
      </c>
      <c r="AN414" s="347"/>
      <c r="AO414" s="347"/>
      <c r="AP414" s="347"/>
      <c r="AQ414" s="348"/>
      <c r="AU414" s="53"/>
      <c r="AV414" s="53"/>
      <c r="AW414" s="53"/>
    </row>
    <row r="415" spans="2:49" x14ac:dyDescent="0.2">
      <c r="B415" s="68"/>
      <c r="C415" s="77" t="s">
        <v>59</v>
      </c>
      <c r="D415" s="90"/>
      <c r="E415" s="91"/>
      <c r="F415" s="91"/>
      <c r="G415" s="91"/>
      <c r="H415" s="92"/>
      <c r="I415" s="90"/>
      <c r="J415" s="91"/>
      <c r="K415" s="91"/>
      <c r="L415" s="91"/>
      <c r="M415" s="92"/>
      <c r="N415" s="90"/>
      <c r="O415" s="91"/>
      <c r="P415" s="91"/>
      <c r="Q415" s="91"/>
      <c r="R415" s="92"/>
      <c r="S415" s="90"/>
      <c r="T415" s="91"/>
      <c r="U415" s="91"/>
      <c r="V415" s="91"/>
      <c r="W415" s="92"/>
      <c r="X415" s="90"/>
      <c r="Y415" s="91"/>
      <c r="Z415" s="91"/>
      <c r="AA415" s="91"/>
      <c r="AB415" s="92"/>
      <c r="AC415" s="90"/>
      <c r="AD415" s="91"/>
      <c r="AE415" s="91"/>
      <c r="AF415" s="91"/>
      <c r="AG415" s="92"/>
      <c r="AH415" s="90"/>
      <c r="AI415" s="91"/>
      <c r="AJ415" s="91"/>
      <c r="AK415" s="91"/>
      <c r="AL415" s="91"/>
      <c r="AM415" s="206" t="s">
        <v>59</v>
      </c>
      <c r="AN415" s="392"/>
      <c r="AO415" s="392"/>
      <c r="AP415" s="392"/>
      <c r="AQ415" s="393"/>
      <c r="AU415" s="53"/>
      <c r="AV415" s="53"/>
      <c r="AW415" s="53"/>
    </row>
    <row r="416" spans="2:49" ht="13.5" thickBot="1" x14ac:dyDescent="0.25">
      <c r="B416" s="72"/>
      <c r="C416" s="85" t="s">
        <v>60</v>
      </c>
      <c r="D416" s="72"/>
      <c r="E416" s="93"/>
      <c r="F416" s="93"/>
      <c r="G416" s="93"/>
      <c r="H416" s="94"/>
      <c r="I416" s="72"/>
      <c r="J416" s="93"/>
      <c r="K416" s="93"/>
      <c r="L416" s="93"/>
      <c r="M416" s="94"/>
      <c r="N416" s="72"/>
      <c r="O416" s="93"/>
      <c r="P416" s="93"/>
      <c r="Q416" s="93"/>
      <c r="R416" s="94"/>
      <c r="S416" s="72"/>
      <c r="T416" s="93"/>
      <c r="U416" s="93"/>
      <c r="V416" s="93"/>
      <c r="W416" s="94"/>
      <c r="X416" s="72"/>
      <c r="Y416" s="93"/>
      <c r="Z416" s="93"/>
      <c r="AA416" s="93"/>
      <c r="AB416" s="94"/>
      <c r="AC416" s="72"/>
      <c r="AD416" s="93"/>
      <c r="AE416" s="93"/>
      <c r="AF416" s="93"/>
      <c r="AG416" s="94"/>
      <c r="AH416" s="72"/>
      <c r="AI416" s="93"/>
      <c r="AJ416" s="93"/>
      <c r="AK416" s="93"/>
      <c r="AL416" s="93"/>
      <c r="AM416" s="207" t="s">
        <v>60</v>
      </c>
      <c r="AN416" s="347"/>
      <c r="AO416" s="347"/>
      <c r="AP416" s="347"/>
      <c r="AQ416" s="348"/>
      <c r="AU416" s="53"/>
      <c r="AV416" s="53"/>
      <c r="AW416" s="53"/>
    </row>
    <row r="417" spans="2:49" ht="9.9499999999999993" customHeight="1" x14ac:dyDescent="0.2">
      <c r="B417" s="74"/>
      <c r="C417" s="74"/>
      <c r="D417" s="378" t="s">
        <v>61</v>
      </c>
      <c r="E417" s="379"/>
      <c r="F417" s="380"/>
      <c r="G417" s="384" t="s">
        <v>62</v>
      </c>
      <c r="H417" s="385"/>
      <c r="I417" s="385"/>
      <c r="J417" s="385"/>
      <c r="K417" s="385"/>
      <c r="L417" s="385"/>
      <c r="M417" s="385"/>
      <c r="N417" s="385"/>
      <c r="O417" s="386"/>
      <c r="P417" s="390" t="s">
        <v>56</v>
      </c>
      <c r="Q417" s="390" t="s">
        <v>63</v>
      </c>
      <c r="R417" s="67"/>
      <c r="S417" s="378" t="s">
        <v>61</v>
      </c>
      <c r="T417" s="379"/>
      <c r="U417" s="380"/>
      <c r="V417" s="384" t="s">
        <v>62</v>
      </c>
      <c r="W417" s="385"/>
      <c r="X417" s="385"/>
      <c r="Y417" s="385"/>
      <c r="Z417" s="385"/>
      <c r="AA417" s="385"/>
      <c r="AB417" s="385"/>
      <c r="AC417" s="385"/>
      <c r="AD417" s="386"/>
      <c r="AE417" s="390" t="s">
        <v>56</v>
      </c>
      <c r="AF417" s="390" t="s">
        <v>63</v>
      </c>
      <c r="AG417" s="95"/>
      <c r="AH417" s="96"/>
      <c r="AI417" s="96"/>
      <c r="AJ417" s="96"/>
      <c r="AK417" s="96"/>
      <c r="AL417" s="96"/>
      <c r="AM417" s="114"/>
      <c r="AN417" s="377" t="s">
        <v>1</v>
      </c>
      <c r="AO417" s="377"/>
      <c r="AP417" s="377" t="s">
        <v>2</v>
      </c>
      <c r="AQ417" s="377"/>
      <c r="AR417" s="97"/>
      <c r="AU417" s="53"/>
      <c r="AV417" s="53"/>
      <c r="AW417" s="53"/>
    </row>
    <row r="418" spans="2:49" ht="13.5" thickBot="1" x14ac:dyDescent="0.25">
      <c r="B418" s="74"/>
      <c r="C418" s="74"/>
      <c r="D418" s="381"/>
      <c r="E418" s="382"/>
      <c r="F418" s="383"/>
      <c r="G418" s="387"/>
      <c r="H418" s="388"/>
      <c r="I418" s="388"/>
      <c r="J418" s="388"/>
      <c r="K418" s="388"/>
      <c r="L418" s="388"/>
      <c r="M418" s="388"/>
      <c r="N418" s="388"/>
      <c r="O418" s="389"/>
      <c r="P418" s="391"/>
      <c r="Q418" s="391"/>
      <c r="R418" s="67"/>
      <c r="S418" s="381"/>
      <c r="T418" s="382"/>
      <c r="U418" s="383"/>
      <c r="V418" s="387"/>
      <c r="W418" s="388"/>
      <c r="X418" s="388"/>
      <c r="Y418" s="388"/>
      <c r="Z418" s="388"/>
      <c r="AA418" s="388"/>
      <c r="AB418" s="388"/>
      <c r="AC418" s="388"/>
      <c r="AD418" s="389"/>
      <c r="AE418" s="391"/>
      <c r="AF418" s="391"/>
      <c r="AG418" s="98"/>
      <c r="AH418" s="67"/>
      <c r="AI418" s="99" t="s">
        <v>64</v>
      </c>
      <c r="AJ418" s="99"/>
      <c r="AK418" s="99"/>
      <c r="AL418" s="99"/>
      <c r="AM418" s="99"/>
      <c r="AN418" s="99"/>
      <c r="AO418" s="100"/>
      <c r="AP418" s="100"/>
      <c r="AQ418" s="101"/>
      <c r="AR418" s="97"/>
      <c r="AU418" s="53"/>
      <c r="AV418" s="53"/>
      <c r="AW418" s="53"/>
    </row>
    <row r="419" spans="2:49" ht="13.5" customHeight="1" x14ac:dyDescent="0.2">
      <c r="B419" s="74"/>
      <c r="C419" s="74"/>
      <c r="D419" s="216"/>
      <c r="E419" s="209"/>
      <c r="F419" s="210"/>
      <c r="G419" s="211" t="s">
        <v>65</v>
      </c>
      <c r="H419" s="212"/>
      <c r="I419" s="212"/>
      <c r="J419" s="212"/>
      <c r="K419" s="212"/>
      <c r="L419" s="212"/>
      <c r="M419" s="212"/>
      <c r="N419" s="212"/>
      <c r="O419" s="213"/>
      <c r="P419" s="214"/>
      <c r="Q419" s="214"/>
      <c r="R419" s="215"/>
      <c r="S419" s="216"/>
      <c r="T419" s="209"/>
      <c r="U419" s="210"/>
      <c r="V419" s="211" t="s">
        <v>65</v>
      </c>
      <c r="W419" s="212"/>
      <c r="X419" s="212"/>
      <c r="Y419" s="212"/>
      <c r="Z419" s="212"/>
      <c r="AA419" s="212"/>
      <c r="AB419" s="212"/>
      <c r="AC419" s="212"/>
      <c r="AD419" s="213"/>
      <c r="AE419" s="214"/>
      <c r="AF419" s="214"/>
      <c r="AG419" s="365" t="s">
        <v>83</v>
      </c>
      <c r="AH419" s="366"/>
      <c r="AI419" s="366"/>
      <c r="AJ419" s="367"/>
      <c r="AK419" s="371" t="s">
        <v>66</v>
      </c>
      <c r="AL419" s="372"/>
      <c r="AM419" s="372"/>
      <c r="AN419" s="372"/>
      <c r="AO419" s="372"/>
      <c r="AP419" s="372"/>
      <c r="AQ419" s="373"/>
      <c r="AU419" s="53"/>
      <c r="AV419" s="53"/>
      <c r="AW419" s="53"/>
    </row>
    <row r="420" spans="2:49" ht="13.5" customHeight="1" thickBot="1" x14ac:dyDescent="0.25">
      <c r="B420" s="74"/>
      <c r="C420" s="74"/>
      <c r="D420" s="216"/>
      <c r="E420" s="209"/>
      <c r="F420" s="210"/>
      <c r="G420" s="217">
        <v>2</v>
      </c>
      <c r="H420" s="209"/>
      <c r="I420" s="209"/>
      <c r="J420" s="209"/>
      <c r="K420" s="209"/>
      <c r="L420" s="209"/>
      <c r="M420" s="209"/>
      <c r="N420" s="209"/>
      <c r="O420" s="210"/>
      <c r="P420" s="214"/>
      <c r="Q420" s="214"/>
      <c r="R420" s="215"/>
      <c r="S420" s="216"/>
      <c r="T420" s="209"/>
      <c r="U420" s="210"/>
      <c r="V420" s="217">
        <v>2</v>
      </c>
      <c r="W420" s="209"/>
      <c r="X420" s="209"/>
      <c r="Y420" s="209"/>
      <c r="Z420" s="209"/>
      <c r="AA420" s="209"/>
      <c r="AB420" s="209"/>
      <c r="AC420" s="209"/>
      <c r="AD420" s="210"/>
      <c r="AE420" s="214"/>
      <c r="AF420" s="214"/>
      <c r="AG420" s="368"/>
      <c r="AH420" s="369"/>
      <c r="AI420" s="369"/>
      <c r="AJ420" s="370"/>
      <c r="AK420" s="374"/>
      <c r="AL420" s="375"/>
      <c r="AM420" s="375"/>
      <c r="AN420" s="375"/>
      <c r="AO420" s="375"/>
      <c r="AP420" s="375"/>
      <c r="AQ420" s="376"/>
      <c r="AU420" s="53"/>
      <c r="AV420" s="53"/>
      <c r="AW420" s="53"/>
    </row>
    <row r="421" spans="2:49" ht="13.5" customHeight="1" x14ac:dyDescent="0.2">
      <c r="B421" s="74"/>
      <c r="C421" s="74"/>
      <c r="D421" s="216"/>
      <c r="E421" s="209"/>
      <c r="F421" s="210"/>
      <c r="G421" s="217">
        <v>3</v>
      </c>
      <c r="H421" s="209"/>
      <c r="I421" s="209"/>
      <c r="J421" s="209"/>
      <c r="K421" s="209"/>
      <c r="L421" s="209"/>
      <c r="M421" s="209"/>
      <c r="N421" s="209"/>
      <c r="O421" s="210"/>
      <c r="P421" s="214"/>
      <c r="Q421" s="214"/>
      <c r="R421" s="215"/>
      <c r="S421" s="216"/>
      <c r="T421" s="209"/>
      <c r="U421" s="210"/>
      <c r="V421" s="217">
        <v>3</v>
      </c>
      <c r="W421" s="209"/>
      <c r="X421" s="209"/>
      <c r="Y421" s="209"/>
      <c r="Z421" s="209"/>
      <c r="AA421" s="209"/>
      <c r="AB421" s="209"/>
      <c r="AC421" s="209"/>
      <c r="AD421" s="210"/>
      <c r="AE421" s="214"/>
      <c r="AF421" s="214"/>
      <c r="AG421" s="365" t="s">
        <v>2</v>
      </c>
      <c r="AH421" s="366"/>
      <c r="AI421" s="366"/>
      <c r="AJ421" s="367"/>
      <c r="AK421" s="371" t="s">
        <v>66</v>
      </c>
      <c r="AL421" s="372"/>
      <c r="AM421" s="372"/>
      <c r="AN421" s="372"/>
      <c r="AO421" s="372"/>
      <c r="AP421" s="372"/>
      <c r="AQ421" s="373"/>
      <c r="AU421" s="53"/>
      <c r="AV421" s="53"/>
      <c r="AW421" s="53"/>
    </row>
    <row r="422" spans="2:49" ht="13.5" customHeight="1" thickBot="1" x14ac:dyDescent="0.25">
      <c r="B422" s="74"/>
      <c r="C422" s="74"/>
      <c r="D422" s="216"/>
      <c r="E422" s="209"/>
      <c r="F422" s="210"/>
      <c r="G422" s="217">
        <v>4</v>
      </c>
      <c r="H422" s="209"/>
      <c r="I422" s="209"/>
      <c r="J422" s="209"/>
      <c r="K422" s="209"/>
      <c r="L422" s="209"/>
      <c r="M422" s="209"/>
      <c r="N422" s="209"/>
      <c r="O422" s="210"/>
      <c r="P422" s="214"/>
      <c r="Q422" s="214"/>
      <c r="R422" s="215"/>
      <c r="S422" s="216"/>
      <c r="T422" s="209"/>
      <c r="U422" s="210"/>
      <c r="V422" s="217">
        <v>4</v>
      </c>
      <c r="W422" s="209"/>
      <c r="X422" s="209"/>
      <c r="Y422" s="209"/>
      <c r="Z422" s="209"/>
      <c r="AA422" s="209"/>
      <c r="AB422" s="209"/>
      <c r="AC422" s="209"/>
      <c r="AD422" s="210"/>
      <c r="AE422" s="214"/>
      <c r="AF422" s="214"/>
      <c r="AG422" s="368"/>
      <c r="AH422" s="369"/>
      <c r="AI422" s="369"/>
      <c r="AJ422" s="370"/>
      <c r="AK422" s="374"/>
      <c r="AL422" s="375"/>
      <c r="AM422" s="375"/>
      <c r="AN422" s="375"/>
      <c r="AO422" s="375"/>
      <c r="AP422" s="375"/>
      <c r="AQ422" s="376"/>
      <c r="AU422" s="53"/>
      <c r="AV422" s="53"/>
      <c r="AW422" s="53"/>
    </row>
    <row r="423" spans="2:49" ht="13.5" customHeight="1" x14ac:dyDescent="0.2">
      <c r="B423" s="74"/>
      <c r="C423" s="74"/>
      <c r="D423" s="216"/>
      <c r="E423" s="209"/>
      <c r="F423" s="210"/>
      <c r="G423" s="217">
        <v>5</v>
      </c>
      <c r="H423" s="209"/>
      <c r="I423" s="209"/>
      <c r="J423" s="209"/>
      <c r="K423" s="209"/>
      <c r="L423" s="209"/>
      <c r="M423" s="209"/>
      <c r="N423" s="209"/>
      <c r="O423" s="210"/>
      <c r="P423" s="214"/>
      <c r="Q423" s="214"/>
      <c r="R423" s="215"/>
      <c r="S423" s="216"/>
      <c r="T423" s="209"/>
      <c r="U423" s="210"/>
      <c r="V423" s="217">
        <v>5</v>
      </c>
      <c r="W423" s="209"/>
      <c r="X423" s="209"/>
      <c r="Y423" s="209"/>
      <c r="Z423" s="209"/>
      <c r="AA423" s="209"/>
      <c r="AB423" s="209"/>
      <c r="AC423" s="209"/>
      <c r="AD423" s="210"/>
      <c r="AE423" s="214"/>
      <c r="AF423" s="214"/>
      <c r="AG423" s="102" t="s">
        <v>67</v>
      </c>
      <c r="AH423" s="70"/>
      <c r="AI423" s="70"/>
      <c r="AJ423" s="70"/>
      <c r="AK423" s="70"/>
      <c r="AL423" s="70"/>
      <c r="AM423" s="70"/>
      <c r="AN423" s="70"/>
      <c r="AO423" s="70" t="s">
        <v>68</v>
      </c>
      <c r="AP423" s="70"/>
      <c r="AQ423" s="79"/>
      <c r="AU423" s="53"/>
      <c r="AV423" s="53"/>
      <c r="AW423" s="53"/>
    </row>
    <row r="424" spans="2:49" ht="13.5" customHeight="1" x14ac:dyDescent="0.2">
      <c r="B424" s="74"/>
      <c r="C424" s="74"/>
      <c r="D424" s="216"/>
      <c r="E424" s="209"/>
      <c r="F424" s="210"/>
      <c r="G424" s="217">
        <v>6</v>
      </c>
      <c r="H424" s="209"/>
      <c r="I424" s="209"/>
      <c r="J424" s="209"/>
      <c r="K424" s="209"/>
      <c r="L424" s="209"/>
      <c r="M424" s="209"/>
      <c r="N424" s="209"/>
      <c r="O424" s="210"/>
      <c r="P424" s="214"/>
      <c r="Q424" s="214"/>
      <c r="R424" s="215"/>
      <c r="S424" s="216"/>
      <c r="T424" s="209"/>
      <c r="U424" s="210"/>
      <c r="V424" s="217">
        <v>6</v>
      </c>
      <c r="W424" s="209"/>
      <c r="X424" s="209"/>
      <c r="Y424" s="209"/>
      <c r="Z424" s="209"/>
      <c r="AA424" s="209"/>
      <c r="AB424" s="209"/>
      <c r="AC424" s="209"/>
      <c r="AD424" s="210"/>
      <c r="AE424" s="214"/>
      <c r="AF424" s="214"/>
      <c r="AG424" s="103"/>
      <c r="AH424" s="67"/>
      <c r="AI424" s="67"/>
      <c r="AJ424" s="67"/>
      <c r="AK424" s="67"/>
      <c r="AL424" s="67"/>
      <c r="AM424" s="67"/>
      <c r="AN424" s="67"/>
      <c r="AO424" s="67"/>
      <c r="AP424" s="67"/>
      <c r="AQ424" s="81"/>
      <c r="AU424" s="53"/>
      <c r="AV424" s="53"/>
      <c r="AW424" s="53"/>
    </row>
    <row r="425" spans="2:49" ht="13.5" customHeight="1" thickBot="1" x14ac:dyDescent="0.25">
      <c r="B425" s="74"/>
      <c r="C425" s="74"/>
      <c r="D425" s="216"/>
      <c r="E425" s="209"/>
      <c r="F425" s="210"/>
      <c r="G425" s="217">
        <v>7</v>
      </c>
      <c r="H425" s="209"/>
      <c r="I425" s="209"/>
      <c r="J425" s="209"/>
      <c r="K425" s="209"/>
      <c r="L425" s="209"/>
      <c r="M425" s="209"/>
      <c r="N425" s="209"/>
      <c r="O425" s="210"/>
      <c r="P425" s="214"/>
      <c r="Q425" s="214"/>
      <c r="R425" s="215"/>
      <c r="S425" s="216"/>
      <c r="T425" s="209"/>
      <c r="U425" s="210"/>
      <c r="V425" s="217">
        <v>7</v>
      </c>
      <c r="W425" s="209"/>
      <c r="X425" s="209"/>
      <c r="Y425" s="209"/>
      <c r="Z425" s="209"/>
      <c r="AA425" s="209"/>
      <c r="AB425" s="209"/>
      <c r="AC425" s="209"/>
      <c r="AD425" s="210"/>
      <c r="AE425" s="214"/>
      <c r="AF425" s="214"/>
      <c r="AG425" s="74" t="s">
        <v>69</v>
      </c>
      <c r="AH425" s="67"/>
      <c r="AI425" s="67"/>
      <c r="AJ425" s="67"/>
      <c r="AK425" s="67"/>
      <c r="AL425" s="67"/>
      <c r="AM425" s="67"/>
      <c r="AN425" s="67"/>
      <c r="AO425" s="67"/>
      <c r="AP425" s="67"/>
      <c r="AQ425" s="81"/>
      <c r="AU425" s="53"/>
      <c r="AV425" s="53"/>
      <c r="AW425" s="53"/>
    </row>
    <row r="426" spans="2:49" ht="13.5" customHeight="1" thickBot="1" x14ac:dyDescent="0.25">
      <c r="B426" s="74"/>
      <c r="C426" s="74"/>
      <c r="D426" s="222"/>
      <c r="E426" s="218"/>
      <c r="F426" s="219"/>
      <c r="G426" s="220">
        <v>8</v>
      </c>
      <c r="H426" s="218"/>
      <c r="I426" s="218"/>
      <c r="J426" s="218"/>
      <c r="K426" s="218"/>
      <c r="L426" s="218"/>
      <c r="M426" s="218"/>
      <c r="N426" s="218"/>
      <c r="O426" s="219"/>
      <c r="P426" s="221"/>
      <c r="Q426" s="221"/>
      <c r="R426" s="215"/>
      <c r="S426" s="222"/>
      <c r="T426" s="218"/>
      <c r="U426" s="219"/>
      <c r="V426" s="220">
        <v>8</v>
      </c>
      <c r="W426" s="218"/>
      <c r="X426" s="218"/>
      <c r="Y426" s="218"/>
      <c r="Z426" s="218"/>
      <c r="AA426" s="218"/>
      <c r="AB426" s="218"/>
      <c r="AC426" s="218"/>
      <c r="AD426" s="219"/>
      <c r="AE426" s="221"/>
      <c r="AF426" s="221"/>
      <c r="AG426" s="104" t="s">
        <v>70</v>
      </c>
      <c r="AH426" s="70"/>
      <c r="AI426" s="70"/>
      <c r="AJ426" s="70"/>
      <c r="AK426" s="70"/>
      <c r="AL426" s="70"/>
      <c r="AM426" s="70"/>
      <c r="AN426" s="70"/>
      <c r="AO426" s="70"/>
      <c r="AP426" s="70"/>
      <c r="AQ426" s="79"/>
      <c r="AU426" s="53"/>
      <c r="AV426" s="53"/>
      <c r="AW426" s="53"/>
    </row>
    <row r="427" spans="2:49" ht="13.5" customHeight="1" thickBot="1" x14ac:dyDescent="0.25">
      <c r="B427" s="74"/>
      <c r="C427" s="74"/>
      <c r="D427" s="89"/>
      <c r="E427" s="105"/>
      <c r="F427" s="105"/>
      <c r="G427" s="105"/>
      <c r="H427" s="105"/>
      <c r="I427" s="105"/>
      <c r="J427" s="106" t="s">
        <v>71</v>
      </c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7"/>
      <c r="AG427" s="84" t="s">
        <v>72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81"/>
      <c r="AU427" s="53"/>
      <c r="AV427" s="53"/>
      <c r="AW427" s="53"/>
    </row>
    <row r="428" spans="2:49" ht="13.5" customHeight="1" thickBot="1" x14ac:dyDescent="0.25">
      <c r="B428" s="74"/>
      <c r="C428" s="74"/>
      <c r="D428" s="108" t="s">
        <v>73</v>
      </c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7"/>
      <c r="S428" s="108" t="s">
        <v>74</v>
      </c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7"/>
      <c r="AG428" s="109" t="s">
        <v>75</v>
      </c>
      <c r="AH428" s="110"/>
      <c r="AI428" s="110"/>
      <c r="AJ428" s="110"/>
      <c r="AK428" s="110"/>
      <c r="AL428" s="87"/>
      <c r="AM428" s="111" t="s">
        <v>76</v>
      </c>
      <c r="AN428" s="110"/>
      <c r="AO428" s="110"/>
      <c r="AP428" s="110"/>
      <c r="AQ428" s="87"/>
      <c r="AU428" s="53"/>
      <c r="AV428" s="53"/>
      <c r="AW428" s="53"/>
    </row>
    <row r="429" spans="2:49" ht="17.25" customHeight="1" thickBot="1" x14ac:dyDescent="0.25">
      <c r="B429" s="72"/>
      <c r="C429" s="72"/>
      <c r="D429" s="108" t="s">
        <v>77</v>
      </c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7"/>
      <c r="S429" s="108" t="s">
        <v>6</v>
      </c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7"/>
      <c r="AG429" s="112" t="s">
        <v>78</v>
      </c>
      <c r="AH429" s="73"/>
      <c r="AI429" s="73"/>
      <c r="AJ429" s="73"/>
      <c r="AK429" s="73"/>
      <c r="AL429" s="87"/>
      <c r="AM429" s="113" t="s">
        <v>79</v>
      </c>
      <c r="AN429" s="73"/>
      <c r="AO429" s="73"/>
      <c r="AP429" s="73"/>
      <c r="AQ429" s="87"/>
      <c r="AU429" s="53"/>
      <c r="AV429" s="53"/>
      <c r="AW429" s="53"/>
    </row>
    <row r="430" spans="2:49" ht="17.25" customHeight="1" thickBot="1" x14ac:dyDescent="0.25">
      <c r="B430" s="67"/>
      <c r="C430" s="67"/>
      <c r="D430" s="114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114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115"/>
      <c r="AH430" s="67"/>
      <c r="AI430" s="67"/>
      <c r="AJ430" s="67"/>
      <c r="AK430" s="67"/>
      <c r="AL430" s="67"/>
      <c r="AM430" s="116"/>
      <c r="AN430" s="67"/>
      <c r="AO430" s="67"/>
      <c r="AP430" s="67"/>
      <c r="AQ430" s="67"/>
      <c r="AU430" s="53"/>
      <c r="AV430" s="53"/>
      <c r="AW430" s="53"/>
    </row>
    <row r="431" spans="2:49" ht="17.25" customHeight="1" x14ac:dyDescent="0.25">
      <c r="B431" s="68"/>
      <c r="C431" s="68"/>
      <c r="D431" s="69" t="s">
        <v>44</v>
      </c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1" t="s">
        <v>89</v>
      </c>
      <c r="Z431" s="70"/>
      <c r="AA431" s="70"/>
      <c r="AB431" s="70"/>
      <c r="AC431" s="70"/>
      <c r="AD431" s="70"/>
      <c r="AE431" s="70"/>
      <c r="AF431" s="70"/>
      <c r="AG431" s="70"/>
      <c r="AH431" s="441" t="s">
        <v>45</v>
      </c>
      <c r="AI431" s="442"/>
      <c r="AJ431" s="442"/>
      <c r="AK431" s="442"/>
      <c r="AL431" s="442"/>
      <c r="AM431" s="443">
        <f>IF(($AU$9+13)&gt;$AX$9,"",VLOOKUP($AU$9+13,Spielplan,3,0))</f>
        <v>0.19444444444444442</v>
      </c>
      <c r="AN431" s="443"/>
      <c r="AO431" s="443"/>
      <c r="AP431" s="443"/>
      <c r="AQ431" s="444"/>
      <c r="AU431" s="53"/>
      <c r="AV431" s="53"/>
      <c r="AW431" s="53"/>
    </row>
    <row r="432" spans="2:49" ht="0.75" customHeight="1" thickBot="1" x14ac:dyDescent="0.25">
      <c r="B432" s="72"/>
      <c r="C432" s="72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4"/>
      <c r="AI432" s="67"/>
      <c r="AJ432" s="67"/>
      <c r="AK432" s="67"/>
      <c r="AL432" s="67"/>
      <c r="AM432" s="75"/>
      <c r="AN432" s="75"/>
      <c r="AO432" s="75"/>
      <c r="AP432" s="75"/>
      <c r="AQ432" s="76"/>
      <c r="AU432" s="53"/>
      <c r="AV432" s="53"/>
      <c r="AW432" s="53"/>
    </row>
    <row r="433" spans="2:49" ht="15" x14ac:dyDescent="0.25">
      <c r="B433" s="68"/>
      <c r="C433" s="77"/>
      <c r="D433" s="68"/>
      <c r="E433" s="78" t="s">
        <v>6</v>
      </c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9"/>
      <c r="S433" s="439" t="s">
        <v>46</v>
      </c>
      <c r="T433" s="440"/>
      <c r="U433" s="440"/>
      <c r="V433" s="440"/>
      <c r="W433" s="440"/>
      <c r="X433" s="440"/>
      <c r="Y433" s="366" t="str">
        <f>IF(($AU$9+13)&gt;$AX$9,"","SHTV")</f>
        <v>SHTV</v>
      </c>
      <c r="Z433" s="366"/>
      <c r="AA433" s="366"/>
      <c r="AB433" s="366"/>
      <c r="AC433" s="366"/>
      <c r="AD433" s="366"/>
      <c r="AE433" s="366"/>
      <c r="AF433" s="366"/>
      <c r="AG433" s="366"/>
      <c r="AH433" s="430" t="s">
        <v>47</v>
      </c>
      <c r="AI433" s="431"/>
      <c r="AJ433" s="431"/>
      <c r="AK433" s="431"/>
      <c r="AL433" s="431"/>
      <c r="AM433" s="434">
        <f>IF(($AU$9+13)&gt;$AX$9,"",VLOOKUP($AU$9+13,Spielplan,4,0))</f>
        <v>9</v>
      </c>
      <c r="AN433" s="435"/>
      <c r="AO433" s="435"/>
      <c r="AP433" s="435"/>
      <c r="AQ433" s="436"/>
      <c r="AU433" s="53"/>
      <c r="AV433" s="53"/>
      <c r="AW433" s="53"/>
    </row>
    <row r="434" spans="2:49" ht="9.9499999999999993" customHeight="1" x14ac:dyDescent="0.2">
      <c r="B434" s="74"/>
      <c r="C434" s="80"/>
      <c r="D434" s="74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81"/>
      <c r="S434" s="423"/>
      <c r="T434" s="406"/>
      <c r="U434" s="406"/>
      <c r="V434" s="406"/>
      <c r="W434" s="406"/>
      <c r="X434" s="406"/>
      <c r="Y434" s="425"/>
      <c r="Z434" s="425"/>
      <c r="AA434" s="425"/>
      <c r="AB434" s="425"/>
      <c r="AC434" s="425"/>
      <c r="AD434" s="425"/>
      <c r="AE434" s="425"/>
      <c r="AF434" s="425"/>
      <c r="AG434" s="425"/>
      <c r="AH434" s="432"/>
      <c r="AI434" s="433"/>
      <c r="AJ434" s="433"/>
      <c r="AK434" s="433"/>
      <c r="AL434" s="433"/>
      <c r="AM434" s="437"/>
      <c r="AN434" s="437"/>
      <c r="AO434" s="437"/>
      <c r="AP434" s="437"/>
      <c r="AQ434" s="438"/>
      <c r="AU434" s="53"/>
      <c r="AV434" s="53"/>
      <c r="AW434" s="53"/>
    </row>
    <row r="435" spans="2:49" ht="13.15" customHeight="1" x14ac:dyDescent="0.2">
      <c r="B435" s="74"/>
      <c r="C435" s="80"/>
      <c r="D435" s="74"/>
      <c r="E435" s="67" t="s">
        <v>48</v>
      </c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81"/>
      <c r="S435" s="422" t="s">
        <v>49</v>
      </c>
      <c r="T435" s="406"/>
      <c r="U435" s="406"/>
      <c r="V435" s="406"/>
      <c r="W435" s="406"/>
      <c r="X435" s="406"/>
      <c r="Y435" s="425">
        <f>IF(($AU$9+13)&gt;$AX$9,"",Platzierung!$U$3)</f>
        <v>0</v>
      </c>
      <c r="Z435" s="425"/>
      <c r="AA435" s="425"/>
      <c r="AB435" s="425"/>
      <c r="AC435" s="425"/>
      <c r="AD435" s="425"/>
      <c r="AE435" s="425"/>
      <c r="AF435" s="425"/>
      <c r="AG435" s="425"/>
      <c r="AH435" s="430" t="s">
        <v>50</v>
      </c>
      <c r="AI435" s="431"/>
      <c r="AJ435" s="431"/>
      <c r="AK435" s="431"/>
      <c r="AL435" s="431"/>
      <c r="AM435" s="434">
        <f>IF(($AU$9+13)&gt;$AX$9,"",VLOOKUP($AU$9+13,Spielplan,6,0))</f>
        <v>14</v>
      </c>
      <c r="AN435" s="435"/>
      <c r="AO435" s="435"/>
      <c r="AP435" s="435"/>
      <c r="AQ435" s="436"/>
      <c r="AU435" s="53"/>
      <c r="AV435" s="53"/>
      <c r="AW435" s="53"/>
    </row>
    <row r="436" spans="2:49" ht="9.9499999999999993" customHeight="1" x14ac:dyDescent="0.2">
      <c r="B436" s="74"/>
      <c r="C436" s="80"/>
      <c r="D436" s="74"/>
      <c r="E436" s="67"/>
      <c r="F436" s="67"/>
      <c r="G436" s="67"/>
      <c r="H436" s="67"/>
      <c r="I436" s="67"/>
      <c r="J436" s="82" t="s">
        <v>51</v>
      </c>
      <c r="K436" s="67"/>
      <c r="L436" s="67"/>
      <c r="M436" s="67"/>
      <c r="N436" s="67"/>
      <c r="O436" s="67"/>
      <c r="P436" s="67"/>
      <c r="Q436" s="67"/>
      <c r="R436" s="81"/>
      <c r="S436" s="423"/>
      <c r="T436" s="406"/>
      <c r="U436" s="406"/>
      <c r="V436" s="406"/>
      <c r="W436" s="406"/>
      <c r="X436" s="406"/>
      <c r="Y436" s="425"/>
      <c r="Z436" s="425"/>
      <c r="AA436" s="425"/>
      <c r="AB436" s="425"/>
      <c r="AC436" s="425"/>
      <c r="AD436" s="425"/>
      <c r="AE436" s="425"/>
      <c r="AF436" s="425"/>
      <c r="AG436" s="425"/>
      <c r="AH436" s="432"/>
      <c r="AI436" s="433"/>
      <c r="AJ436" s="433"/>
      <c r="AK436" s="433"/>
      <c r="AL436" s="433"/>
      <c r="AM436" s="437"/>
      <c r="AN436" s="437"/>
      <c r="AO436" s="437"/>
      <c r="AP436" s="437"/>
      <c r="AQ436" s="438"/>
      <c r="AU436" s="53"/>
      <c r="AV436" s="53"/>
      <c r="AW436" s="53"/>
    </row>
    <row r="437" spans="2:49" ht="15.75" customHeight="1" x14ac:dyDescent="0.2">
      <c r="B437" s="74"/>
      <c r="C437" s="80"/>
      <c r="D437" s="418">
        <f>IF(($AU$9+13)&gt;$AX$9,"",VLOOKUP($AU$9+13,Spielplan,10,0))</f>
        <v>0</v>
      </c>
      <c r="E437" s="419"/>
      <c r="F437" s="419"/>
      <c r="G437" s="419"/>
      <c r="H437" s="419"/>
      <c r="I437" s="419"/>
      <c r="J437" s="419"/>
      <c r="K437" s="419"/>
      <c r="L437" s="419"/>
      <c r="M437" s="419"/>
      <c r="N437" s="419"/>
      <c r="O437" s="419"/>
      <c r="P437" s="419"/>
      <c r="Q437" s="419"/>
      <c r="R437" s="420"/>
      <c r="S437" s="422" t="s">
        <v>52</v>
      </c>
      <c r="T437" s="406"/>
      <c r="U437" s="406"/>
      <c r="V437" s="406"/>
      <c r="W437" s="406"/>
      <c r="X437" s="406"/>
      <c r="Y437" s="424">
        <f>IF(($AU$9+13)&gt;$AX$9,"",VLOOKUP($AU$9+13,Spielplan,2,0))</f>
        <v>0</v>
      </c>
      <c r="Z437" s="425"/>
      <c r="AA437" s="425"/>
      <c r="AB437" s="425"/>
      <c r="AC437" s="425"/>
      <c r="AD437" s="425"/>
      <c r="AE437" s="425"/>
      <c r="AF437" s="425"/>
      <c r="AG437" s="425"/>
      <c r="AH437" s="405" t="s">
        <v>53</v>
      </c>
      <c r="AI437" s="406"/>
      <c r="AJ437" s="406"/>
      <c r="AK437" s="406"/>
      <c r="AL437" s="406"/>
      <c r="AM437" s="400">
        <f>IF(($AU$9+13)&gt;$AX$9,"",VLOOKUP($AU$9+13,Spielplan,5,0))</f>
        <v>1</v>
      </c>
      <c r="AN437" s="401"/>
      <c r="AO437" s="401"/>
      <c r="AP437" s="401"/>
      <c r="AQ437" s="402"/>
      <c r="AU437" s="53"/>
      <c r="AV437" s="53"/>
      <c r="AW437" s="53"/>
    </row>
    <row r="438" spans="2:49" ht="11.1" customHeight="1" thickBot="1" x14ac:dyDescent="0.25">
      <c r="B438" s="74"/>
      <c r="C438" s="80"/>
      <c r="D438" s="421"/>
      <c r="E438" s="419"/>
      <c r="F438" s="419"/>
      <c r="G438" s="419"/>
      <c r="H438" s="419"/>
      <c r="I438" s="419"/>
      <c r="J438" s="419"/>
      <c r="K438" s="419"/>
      <c r="L438" s="419"/>
      <c r="M438" s="419"/>
      <c r="N438" s="419"/>
      <c r="O438" s="419"/>
      <c r="P438" s="419"/>
      <c r="Q438" s="419"/>
      <c r="R438" s="420"/>
      <c r="S438" s="423"/>
      <c r="T438" s="406"/>
      <c r="U438" s="406"/>
      <c r="V438" s="406"/>
      <c r="W438" s="406"/>
      <c r="X438" s="406"/>
      <c r="Y438" s="425"/>
      <c r="Z438" s="425"/>
      <c r="AA438" s="425"/>
      <c r="AB438" s="425"/>
      <c r="AC438" s="425"/>
      <c r="AD438" s="425"/>
      <c r="AE438" s="425"/>
      <c r="AF438" s="425"/>
      <c r="AG438" s="425"/>
      <c r="AH438" s="407"/>
      <c r="AI438" s="408"/>
      <c r="AJ438" s="408"/>
      <c r="AK438" s="408"/>
      <c r="AL438" s="408"/>
      <c r="AM438" s="403"/>
      <c r="AN438" s="403"/>
      <c r="AO438" s="403"/>
      <c r="AP438" s="403"/>
      <c r="AQ438" s="404"/>
      <c r="AU438" s="53"/>
      <c r="AV438" s="53"/>
      <c r="AW438" s="53"/>
    </row>
    <row r="439" spans="2:49" ht="11.1" customHeight="1" thickBot="1" x14ac:dyDescent="0.25">
      <c r="B439" s="74"/>
      <c r="C439" s="80"/>
      <c r="D439" s="72"/>
      <c r="E439" s="73"/>
      <c r="F439" s="73"/>
      <c r="G439" s="73"/>
      <c r="H439" s="73"/>
      <c r="I439" s="73"/>
      <c r="J439" s="73" t="s">
        <v>54</v>
      </c>
      <c r="K439" s="73"/>
      <c r="L439" s="73"/>
      <c r="M439" s="73"/>
      <c r="N439" s="73"/>
      <c r="O439" s="67"/>
      <c r="P439" s="67"/>
      <c r="Q439" s="73"/>
      <c r="R439" s="83"/>
      <c r="S439" s="74"/>
      <c r="T439" s="67"/>
      <c r="U439" s="67"/>
      <c r="V439" s="67"/>
      <c r="W439" s="67"/>
      <c r="X439" s="67"/>
      <c r="Y439" s="409"/>
      <c r="Z439" s="409"/>
      <c r="AA439" s="409"/>
      <c r="AB439" s="409"/>
      <c r="AC439" s="409"/>
      <c r="AD439" s="409"/>
      <c r="AE439" s="409"/>
      <c r="AF439" s="410"/>
      <c r="AG439" s="411"/>
      <c r="AH439" s="84" t="s">
        <v>55</v>
      </c>
      <c r="AI439" s="67"/>
      <c r="AJ439" s="67"/>
      <c r="AK439" s="67"/>
      <c r="AL439" s="67"/>
      <c r="AM439" s="67"/>
      <c r="AN439" s="67"/>
      <c r="AO439" s="85"/>
      <c r="AP439" s="67"/>
      <c r="AQ439" s="81"/>
      <c r="AU439" s="53"/>
      <c r="AV439" s="53"/>
      <c r="AW439" s="53"/>
    </row>
    <row r="440" spans="2:49" ht="13.5" customHeight="1" thickBot="1" x14ac:dyDescent="0.3">
      <c r="B440" s="74"/>
      <c r="C440" s="80"/>
      <c r="D440" s="68"/>
      <c r="E440" s="78" t="s">
        <v>8</v>
      </c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412" t="s">
        <v>56</v>
      </c>
      <c r="R440" s="68"/>
      <c r="S440" s="68"/>
      <c r="T440" s="78" t="s">
        <v>7</v>
      </c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9"/>
      <c r="AF440" s="415" t="s">
        <v>56</v>
      </c>
      <c r="AG440" s="74"/>
      <c r="AH440" s="86" t="s">
        <v>57</v>
      </c>
      <c r="AI440" s="73"/>
      <c r="AJ440" s="73"/>
      <c r="AK440" s="73"/>
      <c r="AL440" s="73"/>
      <c r="AM440" s="73"/>
      <c r="AN440" s="73"/>
      <c r="AO440" s="87"/>
      <c r="AP440" s="67"/>
      <c r="AQ440" s="81"/>
      <c r="AU440" s="53"/>
      <c r="AV440" s="53"/>
      <c r="AW440" s="53"/>
    </row>
    <row r="441" spans="2:49" ht="12" customHeight="1" thickBot="1" x14ac:dyDescent="0.25">
      <c r="B441" s="74"/>
      <c r="C441" s="80"/>
      <c r="D441" s="418">
        <f>IF(($AU$9+13)&gt;$AX$9,"",VLOOKUP($AU$9+13,Spielplan,7,0))</f>
        <v>0</v>
      </c>
      <c r="E441" s="419"/>
      <c r="F441" s="419"/>
      <c r="G441" s="419"/>
      <c r="H441" s="419"/>
      <c r="I441" s="419"/>
      <c r="J441" s="419"/>
      <c r="K441" s="419"/>
      <c r="L441" s="419"/>
      <c r="M441" s="419"/>
      <c r="N441" s="419"/>
      <c r="O441" s="419"/>
      <c r="P441" s="420"/>
      <c r="Q441" s="413"/>
      <c r="R441" s="74"/>
      <c r="S441" s="418">
        <f>IF(($AU$9+13)&gt;$AX$9,"",VLOOKUP($AU$9+13,Spielplan,9,0))</f>
        <v>0</v>
      </c>
      <c r="T441" s="419"/>
      <c r="U441" s="419"/>
      <c r="V441" s="419"/>
      <c r="W441" s="419"/>
      <c r="X441" s="419"/>
      <c r="Y441" s="419"/>
      <c r="Z441" s="419"/>
      <c r="AA441" s="419"/>
      <c r="AB441" s="419"/>
      <c r="AC441" s="419"/>
      <c r="AD441" s="419"/>
      <c r="AE441" s="429"/>
      <c r="AF441" s="416"/>
      <c r="AG441" s="74"/>
      <c r="AH441" s="394" t="s">
        <v>58</v>
      </c>
      <c r="AI441" s="395"/>
      <c r="AJ441" s="395"/>
      <c r="AK441" s="395"/>
      <c r="AL441" s="395"/>
      <c r="AM441" s="396"/>
      <c r="AN441" s="88" t="s">
        <v>59</v>
      </c>
      <c r="AO441" s="89"/>
      <c r="AP441" s="89"/>
      <c r="AQ441" s="87"/>
      <c r="AU441" s="53"/>
      <c r="AV441" s="53"/>
      <c r="AW441" s="53"/>
    </row>
    <row r="442" spans="2:49" ht="12" customHeight="1" thickBot="1" x14ac:dyDescent="0.25">
      <c r="B442" s="72"/>
      <c r="C442" s="85"/>
      <c r="D442" s="426"/>
      <c r="E442" s="427"/>
      <c r="F442" s="427"/>
      <c r="G442" s="427"/>
      <c r="H442" s="427"/>
      <c r="I442" s="427"/>
      <c r="J442" s="427"/>
      <c r="K442" s="427"/>
      <c r="L442" s="427"/>
      <c r="M442" s="427"/>
      <c r="N442" s="427"/>
      <c r="O442" s="427"/>
      <c r="P442" s="428"/>
      <c r="Q442" s="414"/>
      <c r="R442" s="72"/>
      <c r="S442" s="426"/>
      <c r="T442" s="427"/>
      <c r="U442" s="427"/>
      <c r="V442" s="427"/>
      <c r="W442" s="427"/>
      <c r="X442" s="427"/>
      <c r="Y442" s="427"/>
      <c r="Z442" s="427"/>
      <c r="AA442" s="427"/>
      <c r="AB442" s="427"/>
      <c r="AC442" s="427"/>
      <c r="AD442" s="427"/>
      <c r="AE442" s="389"/>
      <c r="AF442" s="417"/>
      <c r="AG442" s="72"/>
      <c r="AH442" s="397"/>
      <c r="AI442" s="398"/>
      <c r="AJ442" s="398"/>
      <c r="AK442" s="398"/>
      <c r="AL442" s="398"/>
      <c r="AM442" s="399"/>
      <c r="AN442" s="88" t="s">
        <v>60</v>
      </c>
      <c r="AO442" s="89"/>
      <c r="AP442" s="89"/>
      <c r="AQ442" s="87"/>
      <c r="AU442" s="53"/>
      <c r="AV442" s="53"/>
      <c r="AW442" s="53"/>
    </row>
    <row r="443" spans="2:49" ht="9.9499999999999993" customHeight="1" thickBot="1" x14ac:dyDescent="0.25">
      <c r="B443" s="74"/>
      <c r="C443" s="7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81"/>
      <c r="AU443" s="53"/>
      <c r="AV443" s="53"/>
      <c r="AW443" s="53"/>
    </row>
    <row r="444" spans="2:49" x14ac:dyDescent="0.2">
      <c r="B444" s="68"/>
      <c r="C444" s="77" t="s">
        <v>59</v>
      </c>
      <c r="D444" s="90"/>
      <c r="E444" s="91"/>
      <c r="F444" s="91"/>
      <c r="G444" s="91"/>
      <c r="H444" s="92"/>
      <c r="I444" s="90"/>
      <c r="J444" s="91"/>
      <c r="K444" s="91"/>
      <c r="L444" s="91"/>
      <c r="M444" s="92"/>
      <c r="N444" s="90"/>
      <c r="O444" s="91"/>
      <c r="P444" s="91"/>
      <c r="Q444" s="91"/>
      <c r="R444" s="92"/>
      <c r="S444" s="90"/>
      <c r="T444" s="91"/>
      <c r="U444" s="91"/>
      <c r="V444" s="91"/>
      <c r="W444" s="92"/>
      <c r="X444" s="90"/>
      <c r="Y444" s="91"/>
      <c r="Z444" s="91"/>
      <c r="AA444" s="91"/>
      <c r="AB444" s="92"/>
      <c r="AC444" s="90"/>
      <c r="AD444" s="91"/>
      <c r="AE444" s="91"/>
      <c r="AF444" s="91"/>
      <c r="AG444" s="92"/>
      <c r="AH444" s="90"/>
      <c r="AI444" s="91"/>
      <c r="AJ444" s="91"/>
      <c r="AK444" s="91"/>
      <c r="AL444" s="91"/>
      <c r="AM444" s="206" t="s">
        <v>59</v>
      </c>
      <c r="AN444" s="392"/>
      <c r="AO444" s="392"/>
      <c r="AP444" s="392"/>
      <c r="AQ444" s="393"/>
      <c r="AU444" s="53"/>
      <c r="AV444" s="53"/>
      <c r="AW444" s="53"/>
    </row>
    <row r="445" spans="2:49" ht="13.5" thickBot="1" x14ac:dyDescent="0.25">
      <c r="B445" s="72"/>
      <c r="C445" s="85" t="s">
        <v>60</v>
      </c>
      <c r="D445" s="72"/>
      <c r="E445" s="93"/>
      <c r="F445" s="93"/>
      <c r="G445" s="93"/>
      <c r="H445" s="94"/>
      <c r="I445" s="72"/>
      <c r="J445" s="93"/>
      <c r="K445" s="93"/>
      <c r="L445" s="93"/>
      <c r="M445" s="94"/>
      <c r="N445" s="72"/>
      <c r="O445" s="93"/>
      <c r="P445" s="93"/>
      <c r="Q445" s="93"/>
      <c r="R445" s="94"/>
      <c r="S445" s="72"/>
      <c r="T445" s="93"/>
      <c r="U445" s="93"/>
      <c r="V445" s="93"/>
      <c r="W445" s="94"/>
      <c r="X445" s="72"/>
      <c r="Y445" s="93"/>
      <c r="Z445" s="93"/>
      <c r="AA445" s="93"/>
      <c r="AB445" s="94"/>
      <c r="AC445" s="72"/>
      <c r="AD445" s="93"/>
      <c r="AE445" s="93"/>
      <c r="AF445" s="93"/>
      <c r="AG445" s="94"/>
      <c r="AH445" s="72"/>
      <c r="AI445" s="93"/>
      <c r="AJ445" s="93"/>
      <c r="AK445" s="93"/>
      <c r="AL445" s="93"/>
      <c r="AM445" s="208" t="s">
        <v>60</v>
      </c>
      <c r="AN445" s="326"/>
      <c r="AO445" s="326"/>
      <c r="AP445" s="326"/>
      <c r="AQ445" s="327"/>
      <c r="AU445" s="53"/>
      <c r="AV445" s="53"/>
      <c r="AW445" s="53"/>
    </row>
    <row r="446" spans="2:49" x14ac:dyDescent="0.2">
      <c r="B446" s="68"/>
      <c r="C446" s="77" t="s">
        <v>59</v>
      </c>
      <c r="D446" s="90"/>
      <c r="E446" s="91"/>
      <c r="F446" s="91"/>
      <c r="G446" s="91"/>
      <c r="H446" s="92"/>
      <c r="I446" s="90"/>
      <c r="J446" s="91"/>
      <c r="K446" s="91"/>
      <c r="L446" s="91"/>
      <c r="M446" s="92"/>
      <c r="N446" s="90"/>
      <c r="O446" s="91"/>
      <c r="P446" s="91"/>
      <c r="Q446" s="91"/>
      <c r="R446" s="92"/>
      <c r="S446" s="90"/>
      <c r="T446" s="91"/>
      <c r="U446" s="91"/>
      <c r="V446" s="91"/>
      <c r="W446" s="92"/>
      <c r="X446" s="90"/>
      <c r="Y446" s="91"/>
      <c r="Z446" s="91"/>
      <c r="AA446" s="91"/>
      <c r="AB446" s="92"/>
      <c r="AC446" s="90"/>
      <c r="AD446" s="91"/>
      <c r="AE446" s="91"/>
      <c r="AF446" s="91"/>
      <c r="AG446" s="92"/>
      <c r="AH446" s="90"/>
      <c r="AI446" s="91"/>
      <c r="AJ446" s="91"/>
      <c r="AK446" s="91"/>
      <c r="AL446" s="91"/>
      <c r="AM446" s="206" t="s">
        <v>59</v>
      </c>
      <c r="AN446" s="392"/>
      <c r="AO446" s="392"/>
      <c r="AP446" s="392"/>
      <c r="AQ446" s="393"/>
      <c r="AU446" s="53"/>
      <c r="AV446" s="53"/>
      <c r="AW446" s="53"/>
    </row>
    <row r="447" spans="2:49" ht="13.5" thickBot="1" x14ac:dyDescent="0.25">
      <c r="B447" s="72"/>
      <c r="C447" s="85" t="s">
        <v>60</v>
      </c>
      <c r="D447" s="72"/>
      <c r="E447" s="93"/>
      <c r="F447" s="93"/>
      <c r="G447" s="93"/>
      <c r="H447" s="94"/>
      <c r="I447" s="72"/>
      <c r="J447" s="93"/>
      <c r="K447" s="93"/>
      <c r="L447" s="93"/>
      <c r="M447" s="94"/>
      <c r="N447" s="72"/>
      <c r="O447" s="93"/>
      <c r="P447" s="93"/>
      <c r="Q447" s="93"/>
      <c r="R447" s="94"/>
      <c r="S447" s="72"/>
      <c r="T447" s="93"/>
      <c r="U447" s="93"/>
      <c r="V447" s="93"/>
      <c r="W447" s="94"/>
      <c r="X447" s="72"/>
      <c r="Y447" s="93"/>
      <c r="Z447" s="93"/>
      <c r="AA447" s="93"/>
      <c r="AB447" s="94"/>
      <c r="AC447" s="72"/>
      <c r="AD447" s="93"/>
      <c r="AE447" s="93"/>
      <c r="AF447" s="93"/>
      <c r="AG447" s="94"/>
      <c r="AH447" s="72"/>
      <c r="AI447" s="93"/>
      <c r="AJ447" s="93"/>
      <c r="AK447" s="93"/>
      <c r="AL447" s="93"/>
      <c r="AM447" s="207" t="s">
        <v>60</v>
      </c>
      <c r="AN447" s="347"/>
      <c r="AO447" s="347"/>
      <c r="AP447" s="347"/>
      <c r="AQ447" s="348"/>
      <c r="AU447" s="53"/>
      <c r="AV447" s="53"/>
      <c r="AW447" s="53"/>
    </row>
    <row r="448" spans="2:49" x14ac:dyDescent="0.2">
      <c r="B448" s="68"/>
      <c r="C448" s="77" t="s">
        <v>59</v>
      </c>
      <c r="D448" s="90"/>
      <c r="E448" s="91"/>
      <c r="F448" s="91"/>
      <c r="G448" s="91"/>
      <c r="H448" s="92"/>
      <c r="I448" s="90"/>
      <c r="J448" s="91"/>
      <c r="K448" s="91"/>
      <c r="L448" s="91"/>
      <c r="M448" s="92"/>
      <c r="N448" s="90"/>
      <c r="O448" s="91"/>
      <c r="P448" s="91"/>
      <c r="Q448" s="91"/>
      <c r="R448" s="92"/>
      <c r="S448" s="90"/>
      <c r="T448" s="91"/>
      <c r="U448" s="91"/>
      <c r="V448" s="91"/>
      <c r="W448" s="92"/>
      <c r="X448" s="90"/>
      <c r="Y448" s="91"/>
      <c r="Z448" s="91"/>
      <c r="AA448" s="91"/>
      <c r="AB448" s="92"/>
      <c r="AC448" s="90"/>
      <c r="AD448" s="91"/>
      <c r="AE448" s="91"/>
      <c r="AF448" s="91"/>
      <c r="AG448" s="92"/>
      <c r="AH448" s="90"/>
      <c r="AI448" s="91"/>
      <c r="AJ448" s="91"/>
      <c r="AK448" s="91"/>
      <c r="AL448" s="91"/>
      <c r="AM448" s="206" t="s">
        <v>59</v>
      </c>
      <c r="AN448" s="392"/>
      <c r="AO448" s="392"/>
      <c r="AP448" s="392"/>
      <c r="AQ448" s="393"/>
      <c r="AU448" s="53"/>
      <c r="AV448" s="53"/>
      <c r="AW448" s="53"/>
    </row>
    <row r="449" spans="2:49" ht="13.5" thickBot="1" x14ac:dyDescent="0.25">
      <c r="B449" s="72"/>
      <c r="C449" s="85" t="s">
        <v>60</v>
      </c>
      <c r="D449" s="72"/>
      <c r="E449" s="93"/>
      <c r="F449" s="93"/>
      <c r="G449" s="93"/>
      <c r="H449" s="94"/>
      <c r="I449" s="72"/>
      <c r="J449" s="93"/>
      <c r="K449" s="93"/>
      <c r="L449" s="93"/>
      <c r="M449" s="94"/>
      <c r="N449" s="72"/>
      <c r="O449" s="93"/>
      <c r="P449" s="93"/>
      <c r="Q449" s="93"/>
      <c r="R449" s="94"/>
      <c r="S449" s="72"/>
      <c r="T449" s="93"/>
      <c r="U449" s="93"/>
      <c r="V449" s="93"/>
      <c r="W449" s="94"/>
      <c r="X449" s="72"/>
      <c r="Y449" s="93"/>
      <c r="Z449" s="93"/>
      <c r="AA449" s="93"/>
      <c r="AB449" s="94"/>
      <c r="AC449" s="72"/>
      <c r="AD449" s="93"/>
      <c r="AE449" s="93"/>
      <c r="AF449" s="93"/>
      <c r="AG449" s="94"/>
      <c r="AH449" s="72"/>
      <c r="AI449" s="93"/>
      <c r="AJ449" s="93"/>
      <c r="AK449" s="93"/>
      <c r="AL449" s="93"/>
      <c r="AM449" s="207" t="s">
        <v>60</v>
      </c>
      <c r="AN449" s="347"/>
      <c r="AO449" s="347"/>
      <c r="AP449" s="347"/>
      <c r="AQ449" s="348"/>
      <c r="AU449" s="53"/>
      <c r="AV449" s="53"/>
      <c r="AW449" s="53"/>
    </row>
    <row r="450" spans="2:49" ht="9.9499999999999993" customHeight="1" x14ac:dyDescent="0.2">
      <c r="B450" s="74"/>
      <c r="C450" s="74"/>
      <c r="D450" s="378" t="s">
        <v>61</v>
      </c>
      <c r="E450" s="379"/>
      <c r="F450" s="380"/>
      <c r="G450" s="384" t="s">
        <v>62</v>
      </c>
      <c r="H450" s="385"/>
      <c r="I450" s="385"/>
      <c r="J450" s="385"/>
      <c r="K450" s="385"/>
      <c r="L450" s="385"/>
      <c r="M450" s="385"/>
      <c r="N450" s="385"/>
      <c r="O450" s="386"/>
      <c r="P450" s="390" t="s">
        <v>56</v>
      </c>
      <c r="Q450" s="390" t="s">
        <v>63</v>
      </c>
      <c r="R450" s="67"/>
      <c r="S450" s="378" t="s">
        <v>61</v>
      </c>
      <c r="T450" s="379"/>
      <c r="U450" s="380"/>
      <c r="V450" s="384" t="s">
        <v>62</v>
      </c>
      <c r="W450" s="385"/>
      <c r="X450" s="385"/>
      <c r="Y450" s="385"/>
      <c r="Z450" s="385"/>
      <c r="AA450" s="385"/>
      <c r="AB450" s="385"/>
      <c r="AC450" s="385"/>
      <c r="AD450" s="386"/>
      <c r="AE450" s="390" t="s">
        <v>56</v>
      </c>
      <c r="AF450" s="390" t="s">
        <v>63</v>
      </c>
      <c r="AG450" s="95"/>
      <c r="AH450" s="96"/>
      <c r="AI450" s="96"/>
      <c r="AJ450" s="96"/>
      <c r="AK450" s="96"/>
      <c r="AL450" s="96"/>
      <c r="AM450" s="114"/>
      <c r="AN450" s="377" t="s">
        <v>1</v>
      </c>
      <c r="AO450" s="377"/>
      <c r="AP450" s="377" t="s">
        <v>2</v>
      </c>
      <c r="AQ450" s="377"/>
      <c r="AR450" s="97"/>
      <c r="AU450" s="53"/>
      <c r="AV450" s="53"/>
      <c r="AW450" s="53"/>
    </row>
    <row r="451" spans="2:49" ht="13.5" thickBot="1" x14ac:dyDescent="0.25">
      <c r="B451" s="74"/>
      <c r="C451" s="74"/>
      <c r="D451" s="381"/>
      <c r="E451" s="382"/>
      <c r="F451" s="383"/>
      <c r="G451" s="387"/>
      <c r="H451" s="388"/>
      <c r="I451" s="388"/>
      <c r="J451" s="388"/>
      <c r="K451" s="388"/>
      <c r="L451" s="388"/>
      <c r="M451" s="388"/>
      <c r="N451" s="388"/>
      <c r="O451" s="389"/>
      <c r="P451" s="391"/>
      <c r="Q451" s="391"/>
      <c r="R451" s="67"/>
      <c r="S451" s="381"/>
      <c r="T451" s="382"/>
      <c r="U451" s="383"/>
      <c r="V451" s="387"/>
      <c r="W451" s="388"/>
      <c r="X451" s="388"/>
      <c r="Y451" s="388"/>
      <c r="Z451" s="388"/>
      <c r="AA451" s="388"/>
      <c r="AB451" s="388"/>
      <c r="AC451" s="388"/>
      <c r="AD451" s="389"/>
      <c r="AE451" s="391"/>
      <c r="AF451" s="391"/>
      <c r="AG451" s="98"/>
      <c r="AH451" s="67"/>
      <c r="AI451" s="99" t="s">
        <v>64</v>
      </c>
      <c r="AJ451" s="99"/>
      <c r="AK451" s="99"/>
      <c r="AL451" s="99"/>
      <c r="AM451" s="99"/>
      <c r="AN451" s="99"/>
      <c r="AO451" s="100"/>
      <c r="AP451" s="100"/>
      <c r="AQ451" s="101"/>
      <c r="AR451" s="97"/>
      <c r="AU451" s="53"/>
      <c r="AV451" s="53"/>
      <c r="AW451" s="53"/>
    </row>
    <row r="452" spans="2:49" ht="13.5" customHeight="1" x14ac:dyDescent="0.2">
      <c r="B452" s="74"/>
      <c r="C452" s="74"/>
      <c r="D452" s="216"/>
      <c r="E452" s="209"/>
      <c r="F452" s="210"/>
      <c r="G452" s="211" t="s">
        <v>65</v>
      </c>
      <c r="H452" s="212"/>
      <c r="I452" s="212"/>
      <c r="J452" s="212"/>
      <c r="K452" s="212"/>
      <c r="L452" s="212"/>
      <c r="M452" s="212"/>
      <c r="N452" s="212"/>
      <c r="O452" s="213"/>
      <c r="P452" s="214"/>
      <c r="Q452" s="214"/>
      <c r="R452" s="215"/>
      <c r="S452" s="216"/>
      <c r="T452" s="209"/>
      <c r="U452" s="210"/>
      <c r="V452" s="211" t="s">
        <v>65</v>
      </c>
      <c r="W452" s="212"/>
      <c r="X452" s="212"/>
      <c r="Y452" s="212"/>
      <c r="Z452" s="212"/>
      <c r="AA452" s="212"/>
      <c r="AB452" s="212"/>
      <c r="AC452" s="212"/>
      <c r="AD452" s="213"/>
      <c r="AE452" s="214"/>
      <c r="AF452" s="214"/>
      <c r="AG452" s="365" t="s">
        <v>83</v>
      </c>
      <c r="AH452" s="366"/>
      <c r="AI452" s="366"/>
      <c r="AJ452" s="367"/>
      <c r="AK452" s="371" t="s">
        <v>66</v>
      </c>
      <c r="AL452" s="372"/>
      <c r="AM452" s="372"/>
      <c r="AN452" s="372"/>
      <c r="AO452" s="372"/>
      <c r="AP452" s="372"/>
      <c r="AQ452" s="373"/>
      <c r="AU452" s="53"/>
      <c r="AV452" s="53"/>
      <c r="AW452" s="53"/>
    </row>
    <row r="453" spans="2:49" ht="13.5" customHeight="1" thickBot="1" x14ac:dyDescent="0.25">
      <c r="B453" s="74"/>
      <c r="C453" s="74"/>
      <c r="D453" s="216"/>
      <c r="E453" s="209"/>
      <c r="F453" s="210"/>
      <c r="G453" s="217">
        <v>2</v>
      </c>
      <c r="H453" s="209"/>
      <c r="I453" s="209"/>
      <c r="J453" s="209"/>
      <c r="K453" s="209"/>
      <c r="L453" s="209"/>
      <c r="M453" s="209"/>
      <c r="N453" s="209"/>
      <c r="O453" s="210"/>
      <c r="P453" s="214"/>
      <c r="Q453" s="214"/>
      <c r="R453" s="215"/>
      <c r="S453" s="216"/>
      <c r="T453" s="209"/>
      <c r="U453" s="210"/>
      <c r="V453" s="217">
        <v>2</v>
      </c>
      <c r="W453" s="209"/>
      <c r="X453" s="209"/>
      <c r="Y453" s="209"/>
      <c r="Z453" s="209"/>
      <c r="AA453" s="209"/>
      <c r="AB453" s="209"/>
      <c r="AC453" s="209"/>
      <c r="AD453" s="210"/>
      <c r="AE453" s="214"/>
      <c r="AF453" s="214"/>
      <c r="AG453" s="368"/>
      <c r="AH453" s="369"/>
      <c r="AI453" s="369"/>
      <c r="AJ453" s="370"/>
      <c r="AK453" s="374"/>
      <c r="AL453" s="375"/>
      <c r="AM453" s="375"/>
      <c r="AN453" s="375"/>
      <c r="AO453" s="375"/>
      <c r="AP453" s="375"/>
      <c r="AQ453" s="376"/>
      <c r="AU453" s="53"/>
      <c r="AV453" s="53"/>
      <c r="AW453" s="53"/>
    </row>
    <row r="454" spans="2:49" ht="13.5" customHeight="1" x14ac:dyDescent="0.2">
      <c r="B454" s="74"/>
      <c r="C454" s="74"/>
      <c r="D454" s="216"/>
      <c r="E454" s="209"/>
      <c r="F454" s="210"/>
      <c r="G454" s="217">
        <v>3</v>
      </c>
      <c r="H454" s="209"/>
      <c r="I454" s="209"/>
      <c r="J454" s="209"/>
      <c r="K454" s="209"/>
      <c r="L454" s="209"/>
      <c r="M454" s="209"/>
      <c r="N454" s="209"/>
      <c r="O454" s="210"/>
      <c r="P454" s="214"/>
      <c r="Q454" s="214"/>
      <c r="R454" s="215"/>
      <c r="S454" s="216"/>
      <c r="T454" s="209"/>
      <c r="U454" s="210"/>
      <c r="V454" s="217">
        <v>3</v>
      </c>
      <c r="W454" s="209"/>
      <c r="X454" s="209"/>
      <c r="Y454" s="209"/>
      <c r="Z454" s="209"/>
      <c r="AA454" s="209"/>
      <c r="AB454" s="209"/>
      <c r="AC454" s="209"/>
      <c r="AD454" s="210"/>
      <c r="AE454" s="214"/>
      <c r="AF454" s="214"/>
      <c r="AG454" s="365" t="s">
        <v>2</v>
      </c>
      <c r="AH454" s="366"/>
      <c r="AI454" s="366"/>
      <c r="AJ454" s="367"/>
      <c r="AK454" s="371" t="s">
        <v>66</v>
      </c>
      <c r="AL454" s="372"/>
      <c r="AM454" s="372"/>
      <c r="AN454" s="372"/>
      <c r="AO454" s="372"/>
      <c r="AP454" s="372"/>
      <c r="AQ454" s="373"/>
      <c r="AU454" s="53"/>
      <c r="AV454" s="53"/>
      <c r="AW454" s="53"/>
    </row>
    <row r="455" spans="2:49" ht="13.5" customHeight="1" thickBot="1" x14ac:dyDescent="0.25">
      <c r="B455" s="74"/>
      <c r="C455" s="74"/>
      <c r="D455" s="216"/>
      <c r="E455" s="209"/>
      <c r="F455" s="210"/>
      <c r="G455" s="217">
        <v>4</v>
      </c>
      <c r="H455" s="209"/>
      <c r="I455" s="209"/>
      <c r="J455" s="209"/>
      <c r="K455" s="209"/>
      <c r="L455" s="209"/>
      <c r="M455" s="209"/>
      <c r="N455" s="209"/>
      <c r="O455" s="210"/>
      <c r="P455" s="214"/>
      <c r="Q455" s="214"/>
      <c r="R455" s="215"/>
      <c r="S455" s="216"/>
      <c r="T455" s="209"/>
      <c r="U455" s="210"/>
      <c r="V455" s="217">
        <v>4</v>
      </c>
      <c r="W455" s="209"/>
      <c r="X455" s="209"/>
      <c r="Y455" s="209"/>
      <c r="Z455" s="209"/>
      <c r="AA455" s="209"/>
      <c r="AB455" s="209"/>
      <c r="AC455" s="209"/>
      <c r="AD455" s="210"/>
      <c r="AE455" s="214"/>
      <c r="AF455" s="214"/>
      <c r="AG455" s="368"/>
      <c r="AH455" s="369"/>
      <c r="AI455" s="369"/>
      <c r="AJ455" s="370"/>
      <c r="AK455" s="374"/>
      <c r="AL455" s="375"/>
      <c r="AM455" s="375"/>
      <c r="AN455" s="375"/>
      <c r="AO455" s="375"/>
      <c r="AP455" s="375"/>
      <c r="AQ455" s="376"/>
      <c r="AU455" s="53"/>
      <c r="AV455" s="53"/>
      <c r="AW455" s="53"/>
    </row>
    <row r="456" spans="2:49" ht="13.5" customHeight="1" x14ac:dyDescent="0.2">
      <c r="B456" s="74"/>
      <c r="C456" s="74"/>
      <c r="D456" s="216"/>
      <c r="E456" s="209"/>
      <c r="F456" s="210"/>
      <c r="G456" s="217">
        <v>5</v>
      </c>
      <c r="H456" s="209"/>
      <c r="I456" s="209"/>
      <c r="J456" s="209"/>
      <c r="K456" s="209"/>
      <c r="L456" s="209"/>
      <c r="M456" s="209"/>
      <c r="N456" s="209"/>
      <c r="O456" s="210"/>
      <c r="P456" s="214"/>
      <c r="Q456" s="214"/>
      <c r="R456" s="215"/>
      <c r="S456" s="216"/>
      <c r="T456" s="209"/>
      <c r="U456" s="210"/>
      <c r="V456" s="217">
        <v>5</v>
      </c>
      <c r="W456" s="209"/>
      <c r="X456" s="209"/>
      <c r="Y456" s="209"/>
      <c r="Z456" s="209"/>
      <c r="AA456" s="209"/>
      <c r="AB456" s="209"/>
      <c r="AC456" s="209"/>
      <c r="AD456" s="210"/>
      <c r="AE456" s="214"/>
      <c r="AF456" s="214"/>
      <c r="AG456" s="102" t="s">
        <v>67</v>
      </c>
      <c r="AH456" s="70"/>
      <c r="AI456" s="70"/>
      <c r="AJ456" s="70"/>
      <c r="AK456" s="70"/>
      <c r="AL456" s="70"/>
      <c r="AM456" s="70"/>
      <c r="AN456" s="70"/>
      <c r="AO456" s="70" t="s">
        <v>68</v>
      </c>
      <c r="AP456" s="70"/>
      <c r="AQ456" s="79"/>
      <c r="AU456" s="53"/>
      <c r="AV456" s="53"/>
      <c r="AW456" s="53"/>
    </row>
    <row r="457" spans="2:49" ht="13.5" customHeight="1" x14ac:dyDescent="0.2">
      <c r="B457" s="74"/>
      <c r="C457" s="74"/>
      <c r="D457" s="216"/>
      <c r="E457" s="209"/>
      <c r="F457" s="210"/>
      <c r="G457" s="217">
        <v>6</v>
      </c>
      <c r="H457" s="209"/>
      <c r="I457" s="209"/>
      <c r="J457" s="209"/>
      <c r="K457" s="209"/>
      <c r="L457" s="209"/>
      <c r="M457" s="209"/>
      <c r="N457" s="209"/>
      <c r="O457" s="210"/>
      <c r="P457" s="214"/>
      <c r="Q457" s="214"/>
      <c r="R457" s="215"/>
      <c r="S457" s="216"/>
      <c r="T457" s="209"/>
      <c r="U457" s="210"/>
      <c r="V457" s="217">
        <v>6</v>
      </c>
      <c r="W457" s="209"/>
      <c r="X457" s="209"/>
      <c r="Y457" s="209"/>
      <c r="Z457" s="209"/>
      <c r="AA457" s="209"/>
      <c r="AB457" s="209"/>
      <c r="AC457" s="209"/>
      <c r="AD457" s="210"/>
      <c r="AE457" s="214"/>
      <c r="AF457" s="214"/>
      <c r="AG457" s="103"/>
      <c r="AH457" s="67"/>
      <c r="AI457" s="67"/>
      <c r="AJ457" s="67"/>
      <c r="AK457" s="67"/>
      <c r="AL457" s="67"/>
      <c r="AM457" s="67"/>
      <c r="AN457" s="67"/>
      <c r="AO457" s="67"/>
      <c r="AP457" s="67"/>
      <c r="AQ457" s="81"/>
      <c r="AU457" s="53"/>
      <c r="AV457" s="53"/>
      <c r="AW457" s="53"/>
    </row>
    <row r="458" spans="2:49" ht="13.5" customHeight="1" thickBot="1" x14ac:dyDescent="0.25">
      <c r="B458" s="74"/>
      <c r="C458" s="74"/>
      <c r="D458" s="216"/>
      <c r="E458" s="209"/>
      <c r="F458" s="210"/>
      <c r="G458" s="217">
        <v>7</v>
      </c>
      <c r="H458" s="209"/>
      <c r="I458" s="209"/>
      <c r="J458" s="209"/>
      <c r="K458" s="209"/>
      <c r="L458" s="209"/>
      <c r="M458" s="209"/>
      <c r="N458" s="209"/>
      <c r="O458" s="210"/>
      <c r="P458" s="214"/>
      <c r="Q458" s="214"/>
      <c r="R458" s="215"/>
      <c r="S458" s="216"/>
      <c r="T458" s="209"/>
      <c r="U458" s="210"/>
      <c r="V458" s="217">
        <v>7</v>
      </c>
      <c r="W458" s="209"/>
      <c r="X458" s="209"/>
      <c r="Y458" s="209"/>
      <c r="Z458" s="209"/>
      <c r="AA458" s="209"/>
      <c r="AB458" s="209"/>
      <c r="AC458" s="209"/>
      <c r="AD458" s="210"/>
      <c r="AE458" s="214"/>
      <c r="AF458" s="214"/>
      <c r="AG458" s="74" t="s">
        <v>69</v>
      </c>
      <c r="AH458" s="67"/>
      <c r="AI458" s="67"/>
      <c r="AJ458" s="67"/>
      <c r="AK458" s="67"/>
      <c r="AL458" s="67"/>
      <c r="AM458" s="67"/>
      <c r="AN458" s="67"/>
      <c r="AO458" s="67"/>
      <c r="AP458" s="67"/>
      <c r="AQ458" s="81"/>
      <c r="AU458" s="53"/>
      <c r="AV458" s="53"/>
      <c r="AW458" s="53"/>
    </row>
    <row r="459" spans="2:49" ht="13.5" customHeight="1" thickBot="1" x14ac:dyDescent="0.25">
      <c r="B459" s="74"/>
      <c r="C459" s="74"/>
      <c r="D459" s="222"/>
      <c r="E459" s="218"/>
      <c r="F459" s="219"/>
      <c r="G459" s="220">
        <v>8</v>
      </c>
      <c r="H459" s="218"/>
      <c r="I459" s="218"/>
      <c r="J459" s="218"/>
      <c r="K459" s="218"/>
      <c r="L459" s="218"/>
      <c r="M459" s="218"/>
      <c r="N459" s="218"/>
      <c r="O459" s="219"/>
      <c r="P459" s="221"/>
      <c r="Q459" s="221"/>
      <c r="R459" s="215"/>
      <c r="S459" s="222"/>
      <c r="T459" s="218"/>
      <c r="U459" s="219"/>
      <c r="V459" s="220">
        <v>8</v>
      </c>
      <c r="W459" s="218"/>
      <c r="X459" s="218"/>
      <c r="Y459" s="218"/>
      <c r="Z459" s="218"/>
      <c r="AA459" s="218"/>
      <c r="AB459" s="218"/>
      <c r="AC459" s="218"/>
      <c r="AD459" s="219"/>
      <c r="AE459" s="221"/>
      <c r="AF459" s="221"/>
      <c r="AG459" s="104" t="s">
        <v>70</v>
      </c>
      <c r="AH459" s="70"/>
      <c r="AI459" s="70"/>
      <c r="AJ459" s="70"/>
      <c r="AK459" s="70"/>
      <c r="AL459" s="70"/>
      <c r="AM459" s="70"/>
      <c r="AN459" s="70"/>
      <c r="AO459" s="70"/>
      <c r="AP459" s="70"/>
      <c r="AQ459" s="79"/>
      <c r="AU459" s="53"/>
      <c r="AV459" s="53"/>
      <c r="AW459" s="53"/>
    </row>
    <row r="460" spans="2:49" ht="13.5" customHeight="1" thickBot="1" x14ac:dyDescent="0.25">
      <c r="B460" s="74"/>
      <c r="C460" s="74"/>
      <c r="D460" s="89"/>
      <c r="E460" s="105"/>
      <c r="F460" s="105"/>
      <c r="G460" s="105"/>
      <c r="H460" s="105"/>
      <c r="I460" s="105"/>
      <c r="J460" s="106" t="s">
        <v>71</v>
      </c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7"/>
      <c r="AG460" s="84" t="s">
        <v>72</v>
      </c>
      <c r="AH460" s="67"/>
      <c r="AI460" s="67"/>
      <c r="AJ460" s="67"/>
      <c r="AK460" s="67"/>
      <c r="AL460" s="67"/>
      <c r="AM460" s="67"/>
      <c r="AN460" s="67"/>
      <c r="AO460" s="67"/>
      <c r="AP460" s="67"/>
      <c r="AQ460" s="81"/>
      <c r="AU460" s="53"/>
      <c r="AV460" s="53"/>
      <c r="AW460" s="53"/>
    </row>
    <row r="461" spans="2:49" ht="13.5" customHeight="1" thickBot="1" x14ac:dyDescent="0.25">
      <c r="B461" s="74"/>
      <c r="C461" s="74"/>
      <c r="D461" s="108" t="s">
        <v>73</v>
      </c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7"/>
      <c r="S461" s="108" t="s">
        <v>74</v>
      </c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7"/>
      <c r="AG461" s="109" t="s">
        <v>75</v>
      </c>
      <c r="AH461" s="110"/>
      <c r="AI461" s="110"/>
      <c r="AJ461" s="110"/>
      <c r="AK461" s="110"/>
      <c r="AL461" s="87"/>
      <c r="AM461" s="111" t="s">
        <v>76</v>
      </c>
      <c r="AN461" s="110"/>
      <c r="AO461" s="110"/>
      <c r="AP461" s="110"/>
      <c r="AQ461" s="87"/>
      <c r="AU461" s="53"/>
      <c r="AV461" s="53"/>
      <c r="AW461" s="53"/>
    </row>
    <row r="462" spans="2:49" ht="17.25" customHeight="1" thickBot="1" x14ac:dyDescent="0.25">
      <c r="B462" s="72"/>
      <c r="C462" s="72"/>
      <c r="D462" s="108" t="s">
        <v>77</v>
      </c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7"/>
      <c r="S462" s="108" t="s">
        <v>6</v>
      </c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7"/>
      <c r="AG462" s="112" t="s">
        <v>78</v>
      </c>
      <c r="AH462" s="73"/>
      <c r="AI462" s="73"/>
      <c r="AJ462" s="73"/>
      <c r="AK462" s="73"/>
      <c r="AL462" s="87"/>
      <c r="AM462" s="113" t="s">
        <v>79</v>
      </c>
      <c r="AN462" s="73"/>
      <c r="AO462" s="73"/>
      <c r="AP462" s="73"/>
      <c r="AQ462" s="87"/>
      <c r="AU462" s="53"/>
      <c r="AV462" s="53"/>
      <c r="AW462" s="53"/>
    </row>
    <row r="463" spans="2:49" x14ac:dyDescent="0.2">
      <c r="AU463" s="53"/>
      <c r="AV463" s="53"/>
      <c r="AW463" s="53"/>
    </row>
    <row r="464" spans="2:49" ht="15.75" hidden="1" customHeight="1" thickBot="1" x14ac:dyDescent="0.25">
      <c r="AA464" s="67"/>
      <c r="AB464" s="67"/>
      <c r="AC464" s="67"/>
      <c r="AD464" s="67"/>
      <c r="AE464" s="67"/>
      <c r="AF464" s="67"/>
      <c r="AG464" s="67"/>
      <c r="AH464" s="67"/>
      <c r="AU464" s="53"/>
      <c r="AV464" s="53"/>
      <c r="AW464" s="53"/>
    </row>
    <row r="465" spans="2:49" ht="17.25" hidden="1" customHeight="1" x14ac:dyDescent="0.25">
      <c r="B465" s="68"/>
      <c r="C465" s="68"/>
      <c r="D465" s="69" t="s">
        <v>44</v>
      </c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1" t="s">
        <v>89</v>
      </c>
      <c r="Z465" s="70"/>
      <c r="AA465" s="70"/>
      <c r="AB465" s="70"/>
      <c r="AC465" s="70"/>
      <c r="AD465" s="70"/>
      <c r="AE465" s="70"/>
      <c r="AF465" s="70"/>
      <c r="AG465" s="70"/>
      <c r="AH465" s="441" t="s">
        <v>45</v>
      </c>
      <c r="AI465" s="442"/>
      <c r="AJ465" s="442"/>
      <c r="AK465" s="442"/>
      <c r="AL465" s="442"/>
      <c r="AM465" s="443" t="str">
        <f>IF(($AU$9+14)&gt;$AX$9,"",VLOOKUP($AU$9+14,Spielplan,3,0))</f>
        <v/>
      </c>
      <c r="AN465" s="443"/>
      <c r="AO465" s="443"/>
      <c r="AP465" s="443"/>
      <c r="AQ465" s="444"/>
      <c r="AU465" s="53"/>
      <c r="AV465" s="53"/>
      <c r="AW465" s="53"/>
    </row>
    <row r="466" spans="2:49" ht="0.75" hidden="1" customHeight="1" thickBot="1" x14ac:dyDescent="0.25">
      <c r="B466" s="72"/>
      <c r="C466" s="72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4"/>
      <c r="AI466" s="67"/>
      <c r="AJ466" s="67"/>
      <c r="AK466" s="67"/>
      <c r="AL466" s="67"/>
      <c r="AM466" s="75"/>
      <c r="AN466" s="75"/>
      <c r="AO466" s="75"/>
      <c r="AP466" s="75"/>
      <c r="AQ466" s="76"/>
      <c r="AU466" s="53"/>
      <c r="AV466" s="53"/>
      <c r="AW466" s="53"/>
    </row>
    <row r="467" spans="2:49" ht="15" hidden="1" x14ac:dyDescent="0.25">
      <c r="B467" s="68"/>
      <c r="C467" s="77"/>
      <c r="D467" s="68"/>
      <c r="E467" s="78" t="s">
        <v>6</v>
      </c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9"/>
      <c r="S467" s="439" t="s">
        <v>46</v>
      </c>
      <c r="T467" s="440"/>
      <c r="U467" s="440"/>
      <c r="V467" s="440"/>
      <c r="W467" s="440"/>
      <c r="X467" s="440"/>
      <c r="Y467" s="366" t="str">
        <f>IF(($AU$9+14)&gt;$AX$9,"","SHTV")</f>
        <v/>
      </c>
      <c r="Z467" s="366"/>
      <c r="AA467" s="366"/>
      <c r="AB467" s="366"/>
      <c r="AC467" s="366"/>
      <c r="AD467" s="366"/>
      <c r="AE467" s="366"/>
      <c r="AF467" s="366"/>
      <c r="AG467" s="366"/>
      <c r="AH467" s="430" t="s">
        <v>47</v>
      </c>
      <c r="AI467" s="431"/>
      <c r="AJ467" s="431"/>
      <c r="AK467" s="431"/>
      <c r="AL467" s="431"/>
      <c r="AM467" s="434" t="str">
        <f>IF(($AU$9+14)&gt;$AX$9,"",VLOOKUP($AU$9+14,Spielplan,4,0))</f>
        <v/>
      </c>
      <c r="AN467" s="435"/>
      <c r="AO467" s="435"/>
      <c r="AP467" s="435"/>
      <c r="AQ467" s="436"/>
      <c r="AU467" s="53"/>
      <c r="AV467" s="53"/>
      <c r="AW467" s="53"/>
    </row>
    <row r="468" spans="2:49" ht="9.9499999999999993" hidden="1" customHeight="1" x14ac:dyDescent="0.2">
      <c r="B468" s="74"/>
      <c r="C468" s="80"/>
      <c r="D468" s="74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81"/>
      <c r="S468" s="423"/>
      <c r="T468" s="406"/>
      <c r="U468" s="406"/>
      <c r="V468" s="406"/>
      <c r="W468" s="406"/>
      <c r="X468" s="406"/>
      <c r="Y468" s="425"/>
      <c r="Z468" s="425"/>
      <c r="AA468" s="425"/>
      <c r="AB468" s="425"/>
      <c r="AC468" s="425"/>
      <c r="AD468" s="425"/>
      <c r="AE468" s="425"/>
      <c r="AF468" s="425"/>
      <c r="AG468" s="425"/>
      <c r="AH468" s="432"/>
      <c r="AI468" s="433"/>
      <c r="AJ468" s="433"/>
      <c r="AK468" s="433"/>
      <c r="AL468" s="433"/>
      <c r="AM468" s="437"/>
      <c r="AN468" s="437"/>
      <c r="AO468" s="437"/>
      <c r="AP468" s="437"/>
      <c r="AQ468" s="438"/>
      <c r="AU468" s="53"/>
      <c r="AV468" s="53"/>
      <c r="AW468" s="53"/>
    </row>
    <row r="469" spans="2:49" ht="13.15" hidden="1" customHeight="1" x14ac:dyDescent="0.2">
      <c r="B469" s="74"/>
      <c r="C469" s="80"/>
      <c r="D469" s="74"/>
      <c r="E469" s="67" t="s">
        <v>48</v>
      </c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81"/>
      <c r="S469" s="422" t="s">
        <v>49</v>
      </c>
      <c r="T469" s="406"/>
      <c r="U469" s="406"/>
      <c r="V469" s="406"/>
      <c r="W469" s="406"/>
      <c r="X469" s="406"/>
      <c r="Y469" s="425" t="str">
        <f>IF(($AU$9+14)&gt;$AX$9,"",Platzierung!$U$3)</f>
        <v/>
      </c>
      <c r="Z469" s="425"/>
      <c r="AA469" s="425"/>
      <c r="AB469" s="425"/>
      <c r="AC469" s="425"/>
      <c r="AD469" s="425"/>
      <c r="AE469" s="425"/>
      <c r="AF469" s="425"/>
      <c r="AG469" s="425"/>
      <c r="AH469" s="430" t="s">
        <v>50</v>
      </c>
      <c r="AI469" s="431"/>
      <c r="AJ469" s="431"/>
      <c r="AK469" s="431"/>
      <c r="AL469" s="431"/>
      <c r="AM469" s="434" t="str">
        <f>IF(($AU$9+14)&gt;$AX$9,"",VLOOKUP($AU$9+14,Spielplan,6,0))</f>
        <v/>
      </c>
      <c r="AN469" s="435"/>
      <c r="AO469" s="435"/>
      <c r="AP469" s="435"/>
      <c r="AQ469" s="436"/>
      <c r="AU469" s="53"/>
      <c r="AV469" s="53"/>
      <c r="AW469" s="53"/>
    </row>
    <row r="470" spans="2:49" ht="9.9499999999999993" hidden="1" customHeight="1" x14ac:dyDescent="0.2">
      <c r="B470" s="74"/>
      <c r="C470" s="80"/>
      <c r="D470" s="74"/>
      <c r="E470" s="67"/>
      <c r="F470" s="67"/>
      <c r="G470" s="67"/>
      <c r="H470" s="67"/>
      <c r="I470" s="67"/>
      <c r="J470" s="82" t="s">
        <v>51</v>
      </c>
      <c r="K470" s="67"/>
      <c r="L470" s="67"/>
      <c r="M470" s="67"/>
      <c r="N470" s="67"/>
      <c r="O470" s="67"/>
      <c r="P470" s="67"/>
      <c r="Q470" s="67"/>
      <c r="R470" s="81"/>
      <c r="S470" s="423"/>
      <c r="T470" s="406"/>
      <c r="U470" s="406"/>
      <c r="V470" s="406"/>
      <c r="W470" s="406"/>
      <c r="X470" s="406"/>
      <c r="Y470" s="425"/>
      <c r="Z470" s="425"/>
      <c r="AA470" s="425"/>
      <c r="AB470" s="425"/>
      <c r="AC470" s="425"/>
      <c r="AD470" s="425"/>
      <c r="AE470" s="425"/>
      <c r="AF470" s="425"/>
      <c r="AG470" s="425"/>
      <c r="AH470" s="432"/>
      <c r="AI470" s="433"/>
      <c r="AJ470" s="433"/>
      <c r="AK470" s="433"/>
      <c r="AL470" s="433"/>
      <c r="AM470" s="437"/>
      <c r="AN470" s="437"/>
      <c r="AO470" s="437"/>
      <c r="AP470" s="437"/>
      <c r="AQ470" s="438"/>
      <c r="AU470" s="53"/>
      <c r="AV470" s="53"/>
      <c r="AW470" s="53"/>
    </row>
    <row r="471" spans="2:49" ht="15.75" hidden="1" customHeight="1" x14ac:dyDescent="0.2">
      <c r="B471" s="74"/>
      <c r="C471" s="80"/>
      <c r="D471" s="418" t="str">
        <f>IF(($AU$9+14)&gt;$AX$9,"",VLOOKUP($AU$9+14,Spielplan,10,0))</f>
        <v/>
      </c>
      <c r="E471" s="419"/>
      <c r="F471" s="419"/>
      <c r="G471" s="419"/>
      <c r="H471" s="419"/>
      <c r="I471" s="419"/>
      <c r="J471" s="419"/>
      <c r="K471" s="419"/>
      <c r="L471" s="419"/>
      <c r="M471" s="419"/>
      <c r="N471" s="419"/>
      <c r="O471" s="419"/>
      <c r="P471" s="419"/>
      <c r="Q471" s="419"/>
      <c r="R471" s="420"/>
      <c r="S471" s="422" t="s">
        <v>52</v>
      </c>
      <c r="T471" s="406"/>
      <c r="U471" s="406"/>
      <c r="V471" s="406"/>
      <c r="W471" s="406"/>
      <c r="X471" s="406"/>
      <c r="Y471" s="424" t="str">
        <f>IF(($AU$9+14)&gt;$AX$9,"",VLOOKUP($AU$9+14,Spielplan,2,0))</f>
        <v/>
      </c>
      <c r="Z471" s="425"/>
      <c r="AA471" s="425"/>
      <c r="AB471" s="425"/>
      <c r="AC471" s="425"/>
      <c r="AD471" s="425"/>
      <c r="AE471" s="425"/>
      <c r="AF471" s="425"/>
      <c r="AG471" s="425"/>
      <c r="AH471" s="405" t="s">
        <v>53</v>
      </c>
      <c r="AI471" s="406"/>
      <c r="AJ471" s="406"/>
      <c r="AK471" s="406"/>
      <c r="AL471" s="406"/>
      <c r="AM471" s="400" t="str">
        <f>IF(($AU$9+14)&gt;$AX$9,"",VLOOKUP($AU$9+14,Spielplan,5,0))</f>
        <v/>
      </c>
      <c r="AN471" s="401"/>
      <c r="AO471" s="401"/>
      <c r="AP471" s="401"/>
      <c r="AQ471" s="402"/>
      <c r="AU471" s="53"/>
      <c r="AV471" s="53"/>
      <c r="AW471" s="53"/>
    </row>
    <row r="472" spans="2:49" ht="11.1" hidden="1" customHeight="1" thickBot="1" x14ac:dyDescent="0.25">
      <c r="B472" s="74"/>
      <c r="C472" s="80"/>
      <c r="D472" s="421"/>
      <c r="E472" s="419"/>
      <c r="F472" s="419"/>
      <c r="G472" s="419"/>
      <c r="H472" s="419"/>
      <c r="I472" s="419"/>
      <c r="J472" s="419"/>
      <c r="K472" s="419"/>
      <c r="L472" s="419"/>
      <c r="M472" s="419"/>
      <c r="N472" s="419"/>
      <c r="O472" s="419"/>
      <c r="P472" s="419"/>
      <c r="Q472" s="419"/>
      <c r="R472" s="420"/>
      <c r="S472" s="423"/>
      <c r="T472" s="406"/>
      <c r="U472" s="406"/>
      <c r="V472" s="406"/>
      <c r="W472" s="406"/>
      <c r="X472" s="406"/>
      <c r="Y472" s="425"/>
      <c r="Z472" s="425"/>
      <c r="AA472" s="425"/>
      <c r="AB472" s="425"/>
      <c r="AC472" s="425"/>
      <c r="AD472" s="425"/>
      <c r="AE472" s="425"/>
      <c r="AF472" s="425"/>
      <c r="AG472" s="425"/>
      <c r="AH472" s="407"/>
      <c r="AI472" s="408"/>
      <c r="AJ472" s="408"/>
      <c r="AK472" s="408"/>
      <c r="AL472" s="408"/>
      <c r="AM472" s="403"/>
      <c r="AN472" s="403"/>
      <c r="AO472" s="403"/>
      <c r="AP472" s="403"/>
      <c r="AQ472" s="404"/>
      <c r="AU472" s="53"/>
      <c r="AV472" s="53"/>
      <c r="AW472" s="53"/>
    </row>
    <row r="473" spans="2:49" ht="11.1" hidden="1" customHeight="1" thickBot="1" x14ac:dyDescent="0.25">
      <c r="B473" s="74"/>
      <c r="C473" s="80"/>
      <c r="D473" s="72"/>
      <c r="E473" s="73"/>
      <c r="F473" s="73"/>
      <c r="G473" s="73"/>
      <c r="H473" s="73"/>
      <c r="I473" s="73"/>
      <c r="J473" s="73" t="s">
        <v>54</v>
      </c>
      <c r="K473" s="73"/>
      <c r="L473" s="73"/>
      <c r="M473" s="73"/>
      <c r="N473" s="73"/>
      <c r="O473" s="67"/>
      <c r="P473" s="67"/>
      <c r="Q473" s="73"/>
      <c r="R473" s="83"/>
      <c r="S473" s="74"/>
      <c r="T473" s="67"/>
      <c r="U473" s="67"/>
      <c r="V473" s="67"/>
      <c r="W473" s="67"/>
      <c r="X473" s="67"/>
      <c r="Y473" s="409"/>
      <c r="Z473" s="409"/>
      <c r="AA473" s="409"/>
      <c r="AB473" s="409"/>
      <c r="AC473" s="409"/>
      <c r="AD473" s="409"/>
      <c r="AE473" s="409"/>
      <c r="AF473" s="410"/>
      <c r="AG473" s="411"/>
      <c r="AH473" s="84" t="s">
        <v>55</v>
      </c>
      <c r="AI473" s="67"/>
      <c r="AJ473" s="67"/>
      <c r="AK473" s="67"/>
      <c r="AL473" s="67"/>
      <c r="AM473" s="67"/>
      <c r="AN473" s="67"/>
      <c r="AO473" s="85"/>
      <c r="AP473" s="67"/>
      <c r="AQ473" s="81"/>
      <c r="AU473" s="53"/>
      <c r="AV473" s="53"/>
      <c r="AW473" s="53"/>
    </row>
    <row r="474" spans="2:49" ht="13.5" hidden="1" customHeight="1" thickBot="1" x14ac:dyDescent="0.3">
      <c r="B474" s="74"/>
      <c r="C474" s="80"/>
      <c r="D474" s="68"/>
      <c r="E474" s="78" t="s">
        <v>8</v>
      </c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412" t="s">
        <v>56</v>
      </c>
      <c r="R474" s="68"/>
      <c r="S474" s="68"/>
      <c r="T474" s="78" t="s">
        <v>7</v>
      </c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9"/>
      <c r="AF474" s="415" t="s">
        <v>56</v>
      </c>
      <c r="AG474" s="74"/>
      <c r="AH474" s="86" t="s">
        <v>57</v>
      </c>
      <c r="AI474" s="73"/>
      <c r="AJ474" s="73"/>
      <c r="AK474" s="73"/>
      <c r="AL474" s="73"/>
      <c r="AM474" s="73"/>
      <c r="AN474" s="73"/>
      <c r="AO474" s="87"/>
      <c r="AP474" s="67"/>
      <c r="AQ474" s="81"/>
      <c r="AU474" s="53"/>
      <c r="AV474" s="53"/>
      <c r="AW474" s="53"/>
    </row>
    <row r="475" spans="2:49" ht="12" hidden="1" customHeight="1" thickBot="1" x14ac:dyDescent="0.25">
      <c r="B475" s="74"/>
      <c r="C475" s="80"/>
      <c r="D475" s="418" t="str">
        <f>IF(($AU$9+14)&gt;$AX$9,"",VLOOKUP($AU$9+14,Spielplan,7,0))</f>
        <v/>
      </c>
      <c r="E475" s="419"/>
      <c r="F475" s="419"/>
      <c r="G475" s="419"/>
      <c r="H475" s="419"/>
      <c r="I475" s="419"/>
      <c r="J475" s="419"/>
      <c r="K475" s="419"/>
      <c r="L475" s="419"/>
      <c r="M475" s="419"/>
      <c r="N475" s="419"/>
      <c r="O475" s="419"/>
      <c r="P475" s="420"/>
      <c r="Q475" s="413"/>
      <c r="R475" s="74"/>
      <c r="S475" s="418" t="str">
        <f>IF(($AU$9+14)&gt;$AX$9,"",VLOOKUP($AU$9+14,Spielplan,9,0))</f>
        <v/>
      </c>
      <c r="T475" s="419"/>
      <c r="U475" s="419"/>
      <c r="V475" s="419"/>
      <c r="W475" s="419"/>
      <c r="X475" s="419"/>
      <c r="Y475" s="419"/>
      <c r="Z475" s="419"/>
      <c r="AA475" s="419"/>
      <c r="AB475" s="419"/>
      <c r="AC475" s="419"/>
      <c r="AD475" s="419"/>
      <c r="AE475" s="429"/>
      <c r="AF475" s="416"/>
      <c r="AG475" s="74"/>
      <c r="AH475" s="394" t="s">
        <v>58</v>
      </c>
      <c r="AI475" s="395"/>
      <c r="AJ475" s="395"/>
      <c r="AK475" s="395"/>
      <c r="AL475" s="395"/>
      <c r="AM475" s="396"/>
      <c r="AN475" s="88" t="s">
        <v>59</v>
      </c>
      <c r="AO475" s="89"/>
      <c r="AP475" s="89"/>
      <c r="AQ475" s="87"/>
      <c r="AU475" s="53"/>
      <c r="AV475" s="53"/>
      <c r="AW475" s="53"/>
    </row>
    <row r="476" spans="2:49" ht="12" hidden="1" customHeight="1" thickBot="1" x14ac:dyDescent="0.25">
      <c r="B476" s="72"/>
      <c r="C476" s="85"/>
      <c r="D476" s="426"/>
      <c r="E476" s="427"/>
      <c r="F476" s="427"/>
      <c r="G476" s="427"/>
      <c r="H476" s="427"/>
      <c r="I476" s="427"/>
      <c r="J476" s="427"/>
      <c r="K476" s="427"/>
      <c r="L476" s="427"/>
      <c r="M476" s="427"/>
      <c r="N476" s="427"/>
      <c r="O476" s="427"/>
      <c r="P476" s="428"/>
      <c r="Q476" s="414"/>
      <c r="R476" s="72"/>
      <c r="S476" s="426"/>
      <c r="T476" s="427"/>
      <c r="U476" s="427"/>
      <c r="V476" s="427"/>
      <c r="W476" s="427"/>
      <c r="X476" s="427"/>
      <c r="Y476" s="427"/>
      <c r="Z476" s="427"/>
      <c r="AA476" s="427"/>
      <c r="AB476" s="427"/>
      <c r="AC476" s="427"/>
      <c r="AD476" s="427"/>
      <c r="AE476" s="389"/>
      <c r="AF476" s="417"/>
      <c r="AG476" s="72"/>
      <c r="AH476" s="397"/>
      <c r="AI476" s="398"/>
      <c r="AJ476" s="398"/>
      <c r="AK476" s="398"/>
      <c r="AL476" s="398"/>
      <c r="AM476" s="399"/>
      <c r="AN476" s="88" t="s">
        <v>60</v>
      </c>
      <c r="AO476" s="89"/>
      <c r="AP476" s="89"/>
      <c r="AQ476" s="87"/>
      <c r="AU476" s="53"/>
      <c r="AV476" s="53"/>
      <c r="AW476" s="53"/>
    </row>
    <row r="477" spans="2:49" ht="9.9499999999999993" hidden="1" customHeight="1" thickBot="1" x14ac:dyDescent="0.25">
      <c r="B477" s="74"/>
      <c r="C477" s="7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81"/>
      <c r="AU477" s="53"/>
      <c r="AV477" s="53"/>
      <c r="AW477" s="53"/>
    </row>
    <row r="478" spans="2:49" hidden="1" x14ac:dyDescent="0.2">
      <c r="B478" s="68"/>
      <c r="C478" s="77" t="s">
        <v>59</v>
      </c>
      <c r="D478" s="90"/>
      <c r="E478" s="91"/>
      <c r="F478" s="91"/>
      <c r="G478" s="91"/>
      <c r="H478" s="92"/>
      <c r="I478" s="90"/>
      <c r="J478" s="91"/>
      <c r="K478" s="91"/>
      <c r="L478" s="91"/>
      <c r="M478" s="92"/>
      <c r="N478" s="90"/>
      <c r="O478" s="91"/>
      <c r="P478" s="91"/>
      <c r="Q478" s="91"/>
      <c r="R478" s="92"/>
      <c r="S478" s="90"/>
      <c r="T478" s="91"/>
      <c r="U478" s="91"/>
      <c r="V478" s="91"/>
      <c r="W478" s="92"/>
      <c r="X478" s="90"/>
      <c r="Y478" s="91"/>
      <c r="Z478" s="91"/>
      <c r="AA478" s="91"/>
      <c r="AB478" s="92"/>
      <c r="AC478" s="90"/>
      <c r="AD478" s="91"/>
      <c r="AE478" s="91"/>
      <c r="AF478" s="91"/>
      <c r="AG478" s="92"/>
      <c r="AH478" s="90"/>
      <c r="AI478" s="91"/>
      <c r="AJ478" s="91"/>
      <c r="AK478" s="91"/>
      <c r="AL478" s="91"/>
      <c r="AM478" s="206" t="s">
        <v>59</v>
      </c>
      <c r="AN478" s="392"/>
      <c r="AO478" s="392"/>
      <c r="AP478" s="392"/>
      <c r="AQ478" s="393"/>
      <c r="AU478" s="53"/>
      <c r="AV478" s="53"/>
      <c r="AW478" s="53"/>
    </row>
    <row r="479" spans="2:49" ht="13.5" hidden="1" thickBot="1" x14ac:dyDescent="0.25">
      <c r="B479" s="72"/>
      <c r="C479" s="85" t="s">
        <v>60</v>
      </c>
      <c r="D479" s="72"/>
      <c r="E479" s="93"/>
      <c r="F479" s="93"/>
      <c r="G479" s="93"/>
      <c r="H479" s="94"/>
      <c r="I479" s="72"/>
      <c r="J479" s="93"/>
      <c r="K479" s="93"/>
      <c r="L479" s="93"/>
      <c r="M479" s="94"/>
      <c r="N479" s="72"/>
      <c r="O479" s="93"/>
      <c r="P479" s="93"/>
      <c r="Q479" s="93"/>
      <c r="R479" s="94"/>
      <c r="S479" s="72"/>
      <c r="T479" s="93"/>
      <c r="U479" s="93"/>
      <c r="V479" s="93"/>
      <c r="W479" s="94"/>
      <c r="X479" s="72"/>
      <c r="Y479" s="93"/>
      <c r="Z479" s="93"/>
      <c r="AA479" s="93"/>
      <c r="AB479" s="94"/>
      <c r="AC479" s="72"/>
      <c r="AD479" s="93"/>
      <c r="AE479" s="93"/>
      <c r="AF479" s="93"/>
      <c r="AG479" s="94"/>
      <c r="AH479" s="72"/>
      <c r="AI479" s="93"/>
      <c r="AJ479" s="93"/>
      <c r="AK479" s="93"/>
      <c r="AL479" s="93"/>
      <c r="AM479" s="208" t="s">
        <v>60</v>
      </c>
      <c r="AN479" s="326"/>
      <c r="AO479" s="326"/>
      <c r="AP479" s="326"/>
      <c r="AQ479" s="327"/>
      <c r="AU479" s="53"/>
      <c r="AV479" s="53"/>
      <c r="AW479" s="53"/>
    </row>
    <row r="480" spans="2:49" hidden="1" x14ac:dyDescent="0.2">
      <c r="B480" s="68"/>
      <c r="C480" s="77" t="s">
        <v>59</v>
      </c>
      <c r="D480" s="90"/>
      <c r="E480" s="91"/>
      <c r="F480" s="91"/>
      <c r="G480" s="91"/>
      <c r="H480" s="92"/>
      <c r="I480" s="90"/>
      <c r="J480" s="91"/>
      <c r="K480" s="91"/>
      <c r="L480" s="91"/>
      <c r="M480" s="92"/>
      <c r="N480" s="90"/>
      <c r="O480" s="91"/>
      <c r="P480" s="91"/>
      <c r="Q480" s="91"/>
      <c r="R480" s="92"/>
      <c r="S480" s="90"/>
      <c r="T480" s="91"/>
      <c r="U480" s="91"/>
      <c r="V480" s="91"/>
      <c r="W480" s="92"/>
      <c r="X480" s="90"/>
      <c r="Y480" s="91"/>
      <c r="Z480" s="91"/>
      <c r="AA480" s="91"/>
      <c r="AB480" s="92"/>
      <c r="AC480" s="90"/>
      <c r="AD480" s="91"/>
      <c r="AE480" s="91"/>
      <c r="AF480" s="91"/>
      <c r="AG480" s="92"/>
      <c r="AH480" s="90"/>
      <c r="AI480" s="91"/>
      <c r="AJ480" s="91"/>
      <c r="AK480" s="91"/>
      <c r="AL480" s="91"/>
      <c r="AM480" s="206" t="s">
        <v>59</v>
      </c>
      <c r="AN480" s="392"/>
      <c r="AO480" s="392"/>
      <c r="AP480" s="392"/>
      <c r="AQ480" s="393"/>
      <c r="AU480" s="53"/>
      <c r="AV480" s="53"/>
      <c r="AW480" s="53"/>
    </row>
    <row r="481" spans="2:49" ht="13.5" hidden="1" thickBot="1" x14ac:dyDescent="0.25">
      <c r="B481" s="72"/>
      <c r="C481" s="85" t="s">
        <v>60</v>
      </c>
      <c r="D481" s="72"/>
      <c r="E481" s="93"/>
      <c r="F481" s="93"/>
      <c r="G481" s="93"/>
      <c r="H481" s="94"/>
      <c r="I481" s="72"/>
      <c r="J481" s="93"/>
      <c r="K481" s="93"/>
      <c r="L481" s="93"/>
      <c r="M481" s="94"/>
      <c r="N481" s="72"/>
      <c r="O481" s="93"/>
      <c r="P481" s="93"/>
      <c r="Q481" s="93"/>
      <c r="R481" s="94"/>
      <c r="S481" s="72"/>
      <c r="T481" s="93"/>
      <c r="U481" s="93"/>
      <c r="V481" s="93"/>
      <c r="W481" s="94"/>
      <c r="X481" s="72"/>
      <c r="Y481" s="93"/>
      <c r="Z481" s="93"/>
      <c r="AA481" s="93"/>
      <c r="AB481" s="94"/>
      <c r="AC481" s="72"/>
      <c r="AD481" s="93"/>
      <c r="AE481" s="93"/>
      <c r="AF481" s="93"/>
      <c r="AG481" s="94"/>
      <c r="AH481" s="72"/>
      <c r="AI481" s="93"/>
      <c r="AJ481" s="93"/>
      <c r="AK481" s="93"/>
      <c r="AL481" s="93"/>
      <c r="AM481" s="207" t="s">
        <v>60</v>
      </c>
      <c r="AN481" s="347"/>
      <c r="AO481" s="347"/>
      <c r="AP481" s="347"/>
      <c r="AQ481" s="348"/>
      <c r="AU481" s="53"/>
      <c r="AV481" s="53"/>
      <c r="AW481" s="53"/>
    </row>
    <row r="482" spans="2:49" hidden="1" x14ac:dyDescent="0.2">
      <c r="B482" s="68"/>
      <c r="C482" s="77" t="s">
        <v>59</v>
      </c>
      <c r="D482" s="90"/>
      <c r="E482" s="91"/>
      <c r="F482" s="91"/>
      <c r="G482" s="91"/>
      <c r="H482" s="92"/>
      <c r="I482" s="90"/>
      <c r="J482" s="91"/>
      <c r="K482" s="91"/>
      <c r="L482" s="91"/>
      <c r="M482" s="92"/>
      <c r="N482" s="90"/>
      <c r="O482" s="91"/>
      <c r="P482" s="91"/>
      <c r="Q482" s="91"/>
      <c r="R482" s="92"/>
      <c r="S482" s="90"/>
      <c r="T482" s="91"/>
      <c r="U482" s="91"/>
      <c r="V482" s="91"/>
      <c r="W482" s="92"/>
      <c r="X482" s="90"/>
      <c r="Y482" s="91"/>
      <c r="Z482" s="91"/>
      <c r="AA482" s="91"/>
      <c r="AB482" s="92"/>
      <c r="AC482" s="90"/>
      <c r="AD482" s="91"/>
      <c r="AE482" s="91"/>
      <c r="AF482" s="91"/>
      <c r="AG482" s="92"/>
      <c r="AH482" s="90"/>
      <c r="AI482" s="91"/>
      <c r="AJ482" s="91"/>
      <c r="AK482" s="91"/>
      <c r="AL482" s="91"/>
      <c r="AM482" s="206" t="s">
        <v>59</v>
      </c>
      <c r="AN482" s="392"/>
      <c r="AO482" s="392"/>
      <c r="AP482" s="392"/>
      <c r="AQ482" s="393"/>
      <c r="AU482" s="53"/>
      <c r="AV482" s="53"/>
      <c r="AW482" s="53"/>
    </row>
    <row r="483" spans="2:49" ht="13.5" hidden="1" thickBot="1" x14ac:dyDescent="0.25">
      <c r="B483" s="72"/>
      <c r="C483" s="85" t="s">
        <v>60</v>
      </c>
      <c r="D483" s="72"/>
      <c r="E483" s="93"/>
      <c r="F483" s="93"/>
      <c r="G483" s="93"/>
      <c r="H483" s="94"/>
      <c r="I483" s="72"/>
      <c r="J483" s="93"/>
      <c r="K483" s="93"/>
      <c r="L483" s="93"/>
      <c r="M483" s="94"/>
      <c r="N483" s="72"/>
      <c r="O483" s="93"/>
      <c r="P483" s="93"/>
      <c r="Q483" s="93"/>
      <c r="R483" s="94"/>
      <c r="S483" s="72"/>
      <c r="T483" s="93"/>
      <c r="U483" s="93"/>
      <c r="V483" s="93"/>
      <c r="W483" s="94"/>
      <c r="X483" s="72"/>
      <c r="Y483" s="93"/>
      <c r="Z483" s="93"/>
      <c r="AA483" s="93"/>
      <c r="AB483" s="94"/>
      <c r="AC483" s="72"/>
      <c r="AD483" s="93"/>
      <c r="AE483" s="93"/>
      <c r="AF483" s="93"/>
      <c r="AG483" s="94"/>
      <c r="AH483" s="72"/>
      <c r="AI483" s="93"/>
      <c r="AJ483" s="93"/>
      <c r="AK483" s="93"/>
      <c r="AL483" s="93"/>
      <c r="AM483" s="207" t="s">
        <v>60</v>
      </c>
      <c r="AN483" s="347"/>
      <c r="AO483" s="347"/>
      <c r="AP483" s="347"/>
      <c r="AQ483" s="348"/>
      <c r="AU483" s="53"/>
      <c r="AV483" s="53"/>
      <c r="AW483" s="53"/>
    </row>
    <row r="484" spans="2:49" ht="9.9499999999999993" hidden="1" customHeight="1" x14ac:dyDescent="0.2">
      <c r="B484" s="74"/>
      <c r="C484" s="74"/>
      <c r="D484" s="378" t="s">
        <v>61</v>
      </c>
      <c r="E484" s="379"/>
      <c r="F484" s="380"/>
      <c r="G484" s="384" t="s">
        <v>62</v>
      </c>
      <c r="H484" s="385"/>
      <c r="I484" s="385"/>
      <c r="J484" s="385"/>
      <c r="K484" s="385"/>
      <c r="L484" s="385"/>
      <c r="M484" s="385"/>
      <c r="N484" s="385"/>
      <c r="O484" s="386"/>
      <c r="P484" s="390" t="s">
        <v>56</v>
      </c>
      <c r="Q484" s="390" t="s">
        <v>63</v>
      </c>
      <c r="R484" s="67"/>
      <c r="S484" s="378" t="s">
        <v>61</v>
      </c>
      <c r="T484" s="379"/>
      <c r="U484" s="380"/>
      <c r="V484" s="384" t="s">
        <v>62</v>
      </c>
      <c r="W484" s="385"/>
      <c r="X484" s="385"/>
      <c r="Y484" s="385"/>
      <c r="Z484" s="385"/>
      <c r="AA484" s="385"/>
      <c r="AB484" s="385"/>
      <c r="AC484" s="385"/>
      <c r="AD484" s="386"/>
      <c r="AE484" s="390" t="s">
        <v>56</v>
      </c>
      <c r="AF484" s="390" t="s">
        <v>63</v>
      </c>
      <c r="AG484" s="95"/>
      <c r="AH484" s="96"/>
      <c r="AI484" s="96"/>
      <c r="AJ484" s="96"/>
      <c r="AK484" s="96"/>
      <c r="AL484" s="96"/>
      <c r="AM484" s="114"/>
      <c r="AN484" s="377" t="s">
        <v>1</v>
      </c>
      <c r="AO484" s="377"/>
      <c r="AP484" s="377" t="s">
        <v>2</v>
      </c>
      <c r="AQ484" s="377"/>
      <c r="AR484" s="97"/>
      <c r="AU484" s="53"/>
      <c r="AV484" s="53"/>
      <c r="AW484" s="53"/>
    </row>
    <row r="485" spans="2:49" ht="13.5" hidden="1" thickBot="1" x14ac:dyDescent="0.25">
      <c r="B485" s="74"/>
      <c r="C485" s="74"/>
      <c r="D485" s="381"/>
      <c r="E485" s="382"/>
      <c r="F485" s="383"/>
      <c r="G485" s="387"/>
      <c r="H485" s="388"/>
      <c r="I485" s="388"/>
      <c r="J485" s="388"/>
      <c r="K485" s="388"/>
      <c r="L485" s="388"/>
      <c r="M485" s="388"/>
      <c r="N485" s="388"/>
      <c r="O485" s="389"/>
      <c r="P485" s="391"/>
      <c r="Q485" s="391"/>
      <c r="R485" s="67"/>
      <c r="S485" s="381"/>
      <c r="T485" s="382"/>
      <c r="U485" s="383"/>
      <c r="V485" s="387"/>
      <c r="W485" s="388"/>
      <c r="X485" s="388"/>
      <c r="Y485" s="388"/>
      <c r="Z485" s="388"/>
      <c r="AA485" s="388"/>
      <c r="AB485" s="388"/>
      <c r="AC485" s="388"/>
      <c r="AD485" s="389"/>
      <c r="AE485" s="391"/>
      <c r="AF485" s="391"/>
      <c r="AG485" s="98"/>
      <c r="AH485" s="67"/>
      <c r="AI485" s="99" t="s">
        <v>64</v>
      </c>
      <c r="AJ485" s="99"/>
      <c r="AK485" s="99"/>
      <c r="AL485" s="99"/>
      <c r="AM485" s="99"/>
      <c r="AN485" s="99"/>
      <c r="AO485" s="100"/>
      <c r="AP485" s="100"/>
      <c r="AQ485" s="101"/>
      <c r="AR485" s="97"/>
      <c r="AU485" s="53"/>
      <c r="AV485" s="53"/>
      <c r="AW485" s="53"/>
    </row>
    <row r="486" spans="2:49" ht="13.5" hidden="1" customHeight="1" x14ac:dyDescent="0.2">
      <c r="B486" s="74"/>
      <c r="C486" s="74"/>
      <c r="D486" s="216"/>
      <c r="E486" s="209"/>
      <c r="F486" s="210"/>
      <c r="G486" s="211" t="s">
        <v>65</v>
      </c>
      <c r="H486" s="212"/>
      <c r="I486" s="212"/>
      <c r="J486" s="212"/>
      <c r="K486" s="212"/>
      <c r="L486" s="212"/>
      <c r="M486" s="212"/>
      <c r="N486" s="212"/>
      <c r="O486" s="213"/>
      <c r="P486" s="214"/>
      <c r="Q486" s="214"/>
      <c r="R486" s="215"/>
      <c r="S486" s="216"/>
      <c r="T486" s="209"/>
      <c r="U486" s="210"/>
      <c r="V486" s="211" t="s">
        <v>65</v>
      </c>
      <c r="W486" s="212"/>
      <c r="X486" s="212"/>
      <c r="Y486" s="212"/>
      <c r="Z486" s="212"/>
      <c r="AA486" s="212"/>
      <c r="AB486" s="212"/>
      <c r="AC486" s="212"/>
      <c r="AD486" s="213"/>
      <c r="AE486" s="214"/>
      <c r="AF486" s="214"/>
      <c r="AG486" s="365" t="s">
        <v>83</v>
      </c>
      <c r="AH486" s="366"/>
      <c r="AI486" s="366"/>
      <c r="AJ486" s="367"/>
      <c r="AK486" s="371" t="s">
        <v>66</v>
      </c>
      <c r="AL486" s="372"/>
      <c r="AM486" s="372"/>
      <c r="AN486" s="372"/>
      <c r="AO486" s="372"/>
      <c r="AP486" s="372"/>
      <c r="AQ486" s="373"/>
      <c r="AU486" s="53"/>
      <c r="AV486" s="53"/>
      <c r="AW486" s="53"/>
    </row>
    <row r="487" spans="2:49" ht="13.5" hidden="1" customHeight="1" thickBot="1" x14ac:dyDescent="0.25">
      <c r="B487" s="74"/>
      <c r="C487" s="74"/>
      <c r="D487" s="216"/>
      <c r="E487" s="209"/>
      <c r="F487" s="210"/>
      <c r="G487" s="217">
        <v>2</v>
      </c>
      <c r="H487" s="209"/>
      <c r="I487" s="209"/>
      <c r="J487" s="209"/>
      <c r="K487" s="209"/>
      <c r="L487" s="209"/>
      <c r="M487" s="209"/>
      <c r="N487" s="209"/>
      <c r="O487" s="210"/>
      <c r="P487" s="214"/>
      <c r="Q487" s="214"/>
      <c r="R487" s="215"/>
      <c r="S487" s="216"/>
      <c r="T487" s="209"/>
      <c r="U487" s="210"/>
      <c r="V487" s="217">
        <v>2</v>
      </c>
      <c r="W487" s="209"/>
      <c r="X487" s="209"/>
      <c r="Y487" s="209"/>
      <c r="Z487" s="209"/>
      <c r="AA487" s="209"/>
      <c r="AB487" s="209"/>
      <c r="AC487" s="209"/>
      <c r="AD487" s="210"/>
      <c r="AE487" s="214"/>
      <c r="AF487" s="214"/>
      <c r="AG487" s="368"/>
      <c r="AH487" s="369"/>
      <c r="AI487" s="369"/>
      <c r="AJ487" s="370"/>
      <c r="AK487" s="374"/>
      <c r="AL487" s="375"/>
      <c r="AM487" s="375"/>
      <c r="AN487" s="375"/>
      <c r="AO487" s="375"/>
      <c r="AP487" s="375"/>
      <c r="AQ487" s="376"/>
      <c r="AU487" s="53"/>
      <c r="AV487" s="53"/>
      <c r="AW487" s="53"/>
    </row>
    <row r="488" spans="2:49" ht="13.5" hidden="1" customHeight="1" x14ac:dyDescent="0.2">
      <c r="B488" s="74"/>
      <c r="C488" s="74"/>
      <c r="D488" s="216"/>
      <c r="E488" s="209"/>
      <c r="F488" s="210"/>
      <c r="G488" s="217">
        <v>3</v>
      </c>
      <c r="H488" s="209"/>
      <c r="I488" s="209"/>
      <c r="J488" s="209"/>
      <c r="K488" s="209"/>
      <c r="L488" s="209"/>
      <c r="M488" s="209"/>
      <c r="N488" s="209"/>
      <c r="O488" s="210"/>
      <c r="P488" s="214"/>
      <c r="Q488" s="214"/>
      <c r="R488" s="215"/>
      <c r="S488" s="216"/>
      <c r="T488" s="209"/>
      <c r="U488" s="210"/>
      <c r="V488" s="217">
        <v>3</v>
      </c>
      <c r="W488" s="209"/>
      <c r="X488" s="209"/>
      <c r="Y488" s="209"/>
      <c r="Z488" s="209"/>
      <c r="AA488" s="209"/>
      <c r="AB488" s="209"/>
      <c r="AC488" s="209"/>
      <c r="AD488" s="210"/>
      <c r="AE488" s="214"/>
      <c r="AF488" s="214"/>
      <c r="AG488" s="365" t="s">
        <v>2</v>
      </c>
      <c r="AH488" s="366"/>
      <c r="AI488" s="366"/>
      <c r="AJ488" s="367"/>
      <c r="AK488" s="371" t="s">
        <v>66</v>
      </c>
      <c r="AL488" s="372"/>
      <c r="AM488" s="372"/>
      <c r="AN488" s="372"/>
      <c r="AO488" s="372"/>
      <c r="AP488" s="372"/>
      <c r="AQ488" s="373"/>
      <c r="AU488" s="53"/>
      <c r="AV488" s="53"/>
      <c r="AW488" s="53"/>
    </row>
    <row r="489" spans="2:49" ht="13.5" hidden="1" customHeight="1" thickBot="1" x14ac:dyDescent="0.25">
      <c r="B489" s="74"/>
      <c r="C489" s="74"/>
      <c r="D489" s="216"/>
      <c r="E489" s="209"/>
      <c r="F489" s="210"/>
      <c r="G489" s="217">
        <v>4</v>
      </c>
      <c r="H489" s="209"/>
      <c r="I489" s="209"/>
      <c r="J489" s="209"/>
      <c r="K489" s="209"/>
      <c r="L489" s="209"/>
      <c r="M489" s="209"/>
      <c r="N489" s="209"/>
      <c r="O489" s="210"/>
      <c r="P489" s="214"/>
      <c r="Q489" s="214"/>
      <c r="R489" s="215"/>
      <c r="S489" s="216"/>
      <c r="T489" s="209"/>
      <c r="U489" s="210"/>
      <c r="V489" s="217">
        <v>4</v>
      </c>
      <c r="W489" s="209"/>
      <c r="X489" s="209"/>
      <c r="Y489" s="209"/>
      <c r="Z489" s="209"/>
      <c r="AA489" s="209"/>
      <c r="AB489" s="209"/>
      <c r="AC489" s="209"/>
      <c r="AD489" s="210"/>
      <c r="AE489" s="214"/>
      <c r="AF489" s="214"/>
      <c r="AG489" s="368"/>
      <c r="AH489" s="369"/>
      <c r="AI489" s="369"/>
      <c r="AJ489" s="370"/>
      <c r="AK489" s="374"/>
      <c r="AL489" s="375"/>
      <c r="AM489" s="375"/>
      <c r="AN489" s="375"/>
      <c r="AO489" s="375"/>
      <c r="AP489" s="375"/>
      <c r="AQ489" s="376"/>
      <c r="AU489" s="53"/>
      <c r="AV489" s="53"/>
      <c r="AW489" s="53"/>
    </row>
    <row r="490" spans="2:49" ht="13.5" hidden="1" customHeight="1" x14ac:dyDescent="0.2">
      <c r="B490" s="74"/>
      <c r="C490" s="74"/>
      <c r="D490" s="216"/>
      <c r="E490" s="209"/>
      <c r="F490" s="210"/>
      <c r="G490" s="217">
        <v>5</v>
      </c>
      <c r="H490" s="209"/>
      <c r="I490" s="209"/>
      <c r="J490" s="209"/>
      <c r="K490" s="209"/>
      <c r="L490" s="209"/>
      <c r="M490" s="209"/>
      <c r="N490" s="209"/>
      <c r="O490" s="210"/>
      <c r="P490" s="214"/>
      <c r="Q490" s="214"/>
      <c r="R490" s="215"/>
      <c r="S490" s="216"/>
      <c r="T490" s="209"/>
      <c r="U490" s="210"/>
      <c r="V490" s="217">
        <v>5</v>
      </c>
      <c r="W490" s="209"/>
      <c r="X490" s="209"/>
      <c r="Y490" s="209"/>
      <c r="Z490" s="209"/>
      <c r="AA490" s="209"/>
      <c r="AB490" s="209"/>
      <c r="AC490" s="209"/>
      <c r="AD490" s="210"/>
      <c r="AE490" s="214"/>
      <c r="AF490" s="214"/>
      <c r="AG490" s="102" t="s">
        <v>67</v>
      </c>
      <c r="AH490" s="70"/>
      <c r="AI490" s="70"/>
      <c r="AJ490" s="70"/>
      <c r="AK490" s="70"/>
      <c r="AL490" s="70"/>
      <c r="AM490" s="70"/>
      <c r="AN490" s="70"/>
      <c r="AO490" s="70" t="s">
        <v>68</v>
      </c>
      <c r="AP490" s="70"/>
      <c r="AQ490" s="79"/>
      <c r="AU490" s="53"/>
      <c r="AV490" s="53"/>
      <c r="AW490" s="53"/>
    </row>
    <row r="491" spans="2:49" ht="13.5" hidden="1" customHeight="1" x14ac:dyDescent="0.2">
      <c r="B491" s="74"/>
      <c r="C491" s="74"/>
      <c r="D491" s="216"/>
      <c r="E491" s="209"/>
      <c r="F491" s="210"/>
      <c r="G491" s="217">
        <v>6</v>
      </c>
      <c r="H491" s="209"/>
      <c r="I491" s="209"/>
      <c r="J491" s="209"/>
      <c r="K491" s="209"/>
      <c r="L491" s="209"/>
      <c r="M491" s="209"/>
      <c r="N491" s="209"/>
      <c r="O491" s="210"/>
      <c r="P491" s="214"/>
      <c r="Q491" s="214"/>
      <c r="R491" s="215"/>
      <c r="S491" s="216"/>
      <c r="T491" s="209"/>
      <c r="U491" s="210"/>
      <c r="V491" s="217">
        <v>6</v>
      </c>
      <c r="W491" s="209"/>
      <c r="X491" s="209"/>
      <c r="Y491" s="209"/>
      <c r="Z491" s="209"/>
      <c r="AA491" s="209"/>
      <c r="AB491" s="209"/>
      <c r="AC491" s="209"/>
      <c r="AD491" s="210"/>
      <c r="AE491" s="214"/>
      <c r="AF491" s="214"/>
      <c r="AG491" s="103"/>
      <c r="AH491" s="67"/>
      <c r="AI491" s="67"/>
      <c r="AJ491" s="67"/>
      <c r="AK491" s="67"/>
      <c r="AL491" s="67"/>
      <c r="AM491" s="67"/>
      <c r="AN491" s="67"/>
      <c r="AO491" s="67"/>
      <c r="AP491" s="67"/>
      <c r="AQ491" s="81"/>
      <c r="AU491" s="53"/>
      <c r="AV491" s="53"/>
      <c r="AW491" s="53"/>
    </row>
    <row r="492" spans="2:49" ht="13.5" hidden="1" customHeight="1" thickBot="1" x14ac:dyDescent="0.25">
      <c r="B492" s="74"/>
      <c r="C492" s="74"/>
      <c r="D492" s="216"/>
      <c r="E492" s="209"/>
      <c r="F492" s="210"/>
      <c r="G492" s="217">
        <v>7</v>
      </c>
      <c r="H492" s="209"/>
      <c r="I492" s="209"/>
      <c r="J492" s="209"/>
      <c r="K492" s="209"/>
      <c r="L492" s="209"/>
      <c r="M492" s="209"/>
      <c r="N492" s="209"/>
      <c r="O492" s="210"/>
      <c r="P492" s="214"/>
      <c r="Q492" s="214"/>
      <c r="R492" s="215"/>
      <c r="S492" s="216"/>
      <c r="T492" s="209"/>
      <c r="U492" s="210"/>
      <c r="V492" s="217">
        <v>7</v>
      </c>
      <c r="W492" s="209"/>
      <c r="X492" s="209"/>
      <c r="Y492" s="209"/>
      <c r="Z492" s="209"/>
      <c r="AA492" s="209"/>
      <c r="AB492" s="209"/>
      <c r="AC492" s="209"/>
      <c r="AD492" s="210"/>
      <c r="AE492" s="214"/>
      <c r="AF492" s="214"/>
      <c r="AG492" s="74" t="s">
        <v>69</v>
      </c>
      <c r="AH492" s="67"/>
      <c r="AI492" s="67"/>
      <c r="AJ492" s="67"/>
      <c r="AK492" s="67"/>
      <c r="AL492" s="67"/>
      <c r="AM492" s="67"/>
      <c r="AN492" s="67"/>
      <c r="AO492" s="67"/>
      <c r="AP492" s="67"/>
      <c r="AQ492" s="81"/>
      <c r="AU492" s="53"/>
      <c r="AV492" s="53"/>
      <c r="AW492" s="53"/>
    </row>
    <row r="493" spans="2:49" ht="13.5" hidden="1" customHeight="1" thickBot="1" x14ac:dyDescent="0.25">
      <c r="B493" s="74"/>
      <c r="C493" s="74"/>
      <c r="D493" s="222"/>
      <c r="E493" s="218"/>
      <c r="F493" s="219"/>
      <c r="G493" s="220">
        <v>8</v>
      </c>
      <c r="H493" s="218"/>
      <c r="I493" s="218"/>
      <c r="J493" s="218"/>
      <c r="K493" s="218"/>
      <c r="L493" s="218"/>
      <c r="M493" s="218"/>
      <c r="N493" s="218"/>
      <c r="O493" s="219"/>
      <c r="P493" s="221"/>
      <c r="Q493" s="221"/>
      <c r="R493" s="215"/>
      <c r="S493" s="222"/>
      <c r="T493" s="218"/>
      <c r="U493" s="219"/>
      <c r="V493" s="220">
        <v>8</v>
      </c>
      <c r="W493" s="218"/>
      <c r="X493" s="218"/>
      <c r="Y493" s="218"/>
      <c r="Z493" s="218"/>
      <c r="AA493" s="218"/>
      <c r="AB493" s="218"/>
      <c r="AC493" s="218"/>
      <c r="AD493" s="219"/>
      <c r="AE493" s="221"/>
      <c r="AF493" s="221"/>
      <c r="AG493" s="104" t="s">
        <v>70</v>
      </c>
      <c r="AH493" s="70"/>
      <c r="AI493" s="70"/>
      <c r="AJ493" s="70"/>
      <c r="AK493" s="70"/>
      <c r="AL493" s="70"/>
      <c r="AM493" s="70"/>
      <c r="AN493" s="70"/>
      <c r="AO493" s="70"/>
      <c r="AP493" s="70"/>
      <c r="AQ493" s="79"/>
      <c r="AU493" s="53"/>
      <c r="AV493" s="53"/>
      <c r="AW493" s="53"/>
    </row>
    <row r="494" spans="2:49" ht="13.5" hidden="1" customHeight="1" thickBot="1" x14ac:dyDescent="0.25">
      <c r="B494" s="74"/>
      <c r="C494" s="74"/>
      <c r="D494" s="89"/>
      <c r="E494" s="105"/>
      <c r="F494" s="105"/>
      <c r="G494" s="105"/>
      <c r="H494" s="105"/>
      <c r="I494" s="105"/>
      <c r="J494" s="106" t="s">
        <v>71</v>
      </c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7"/>
      <c r="AG494" s="84" t="s">
        <v>72</v>
      </c>
      <c r="AH494" s="67"/>
      <c r="AI494" s="67"/>
      <c r="AJ494" s="67"/>
      <c r="AK494" s="67"/>
      <c r="AL494" s="67"/>
      <c r="AM494" s="67"/>
      <c r="AN494" s="67"/>
      <c r="AO494" s="67"/>
      <c r="AP494" s="67"/>
      <c r="AQ494" s="81"/>
      <c r="AU494" s="53"/>
      <c r="AV494" s="53"/>
      <c r="AW494" s="53"/>
    </row>
    <row r="495" spans="2:49" ht="13.5" hidden="1" customHeight="1" thickBot="1" x14ac:dyDescent="0.25">
      <c r="B495" s="74"/>
      <c r="C495" s="74"/>
      <c r="D495" s="108" t="s">
        <v>73</v>
      </c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7"/>
      <c r="S495" s="108" t="s">
        <v>74</v>
      </c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7"/>
      <c r="AG495" s="109" t="s">
        <v>75</v>
      </c>
      <c r="AH495" s="110"/>
      <c r="AI495" s="110"/>
      <c r="AJ495" s="110"/>
      <c r="AK495" s="110"/>
      <c r="AL495" s="87"/>
      <c r="AM495" s="111" t="s">
        <v>76</v>
      </c>
      <c r="AN495" s="110"/>
      <c r="AO495" s="110"/>
      <c r="AP495" s="110"/>
      <c r="AQ495" s="87"/>
      <c r="AU495" s="53"/>
      <c r="AV495" s="53"/>
      <c r="AW495" s="53"/>
    </row>
    <row r="496" spans="2:49" ht="17.25" hidden="1" customHeight="1" thickBot="1" x14ac:dyDescent="0.25">
      <c r="B496" s="72"/>
      <c r="C496" s="72"/>
      <c r="D496" s="108" t="s">
        <v>77</v>
      </c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7"/>
      <c r="S496" s="108" t="s">
        <v>6</v>
      </c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7"/>
      <c r="AG496" s="112" t="s">
        <v>78</v>
      </c>
      <c r="AH496" s="73"/>
      <c r="AI496" s="73"/>
      <c r="AJ496" s="73"/>
      <c r="AK496" s="73"/>
      <c r="AL496" s="87"/>
      <c r="AM496" s="113" t="s">
        <v>79</v>
      </c>
      <c r="AN496" s="73"/>
      <c r="AO496" s="73"/>
      <c r="AP496" s="73"/>
      <c r="AQ496" s="87"/>
      <c r="AU496" s="53"/>
      <c r="AV496" s="53"/>
      <c r="AW496" s="53"/>
    </row>
    <row r="497" spans="2:49" ht="17.25" hidden="1" customHeight="1" x14ac:dyDescent="0.2">
      <c r="B497" s="67"/>
      <c r="C497" s="67"/>
      <c r="D497" s="114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114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115"/>
      <c r="AH497" s="67"/>
      <c r="AI497" s="67"/>
      <c r="AJ497" s="67"/>
      <c r="AK497" s="67"/>
      <c r="AL497" s="67"/>
      <c r="AM497" s="116"/>
      <c r="AN497" s="67"/>
      <c r="AO497" s="67"/>
      <c r="AP497" s="67"/>
      <c r="AQ497" s="67"/>
      <c r="AU497" s="53"/>
      <c r="AV497" s="53"/>
      <c r="AW497" s="53"/>
    </row>
    <row r="498" spans="2:49" ht="15.95" hidden="1" customHeight="1" thickBot="1" x14ac:dyDescent="0.25">
      <c r="AU498" s="53"/>
      <c r="AV498" s="53"/>
      <c r="AW498" s="53"/>
    </row>
    <row r="499" spans="2:49" ht="17.25" hidden="1" customHeight="1" x14ac:dyDescent="0.25">
      <c r="B499" s="68"/>
      <c r="C499" s="68"/>
      <c r="D499" s="69" t="s">
        <v>44</v>
      </c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1" t="s">
        <v>89</v>
      </c>
      <c r="Z499" s="70"/>
      <c r="AA499" s="70"/>
      <c r="AB499" s="70"/>
      <c r="AC499" s="70"/>
      <c r="AD499" s="70"/>
      <c r="AE499" s="70"/>
      <c r="AF499" s="70"/>
      <c r="AG499" s="70"/>
      <c r="AH499" s="441" t="s">
        <v>45</v>
      </c>
      <c r="AI499" s="442"/>
      <c r="AJ499" s="442"/>
      <c r="AK499" s="442"/>
      <c r="AL499" s="442"/>
      <c r="AM499" s="443" t="str">
        <f>IF(($AU$9+15)&gt;$AX$9,"",VLOOKUP($AU$9+15,Spielplan,3,0))</f>
        <v/>
      </c>
      <c r="AN499" s="443"/>
      <c r="AO499" s="443"/>
      <c r="AP499" s="443"/>
      <c r="AQ499" s="444"/>
      <c r="AU499" s="53"/>
      <c r="AV499" s="53"/>
      <c r="AW499" s="53"/>
    </row>
    <row r="500" spans="2:49" ht="0.75" hidden="1" customHeight="1" thickBot="1" x14ac:dyDescent="0.25">
      <c r="B500" s="72"/>
      <c r="C500" s="72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4"/>
      <c r="AI500" s="67"/>
      <c r="AJ500" s="67"/>
      <c r="AK500" s="67"/>
      <c r="AL500" s="67"/>
      <c r="AM500" s="75"/>
      <c r="AN500" s="75"/>
      <c r="AO500" s="75"/>
      <c r="AP500" s="75"/>
      <c r="AQ500" s="76"/>
      <c r="AU500" s="53"/>
      <c r="AV500" s="53"/>
      <c r="AW500" s="53"/>
    </row>
    <row r="501" spans="2:49" ht="15" hidden="1" x14ac:dyDescent="0.25">
      <c r="B501" s="68"/>
      <c r="C501" s="77"/>
      <c r="D501" s="68"/>
      <c r="E501" s="78" t="s">
        <v>6</v>
      </c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9"/>
      <c r="S501" s="439" t="s">
        <v>46</v>
      </c>
      <c r="T501" s="440"/>
      <c r="U501" s="440"/>
      <c r="V501" s="440"/>
      <c r="W501" s="440"/>
      <c r="X501" s="440"/>
      <c r="Y501" s="366" t="str">
        <f>IF(($AU$9+15)&gt;$AX$9,"","SHTV")</f>
        <v/>
      </c>
      <c r="Z501" s="366"/>
      <c r="AA501" s="366"/>
      <c r="AB501" s="366"/>
      <c r="AC501" s="366"/>
      <c r="AD501" s="366"/>
      <c r="AE501" s="366"/>
      <c r="AF501" s="366"/>
      <c r="AG501" s="366"/>
      <c r="AH501" s="430" t="s">
        <v>47</v>
      </c>
      <c r="AI501" s="431"/>
      <c r="AJ501" s="431"/>
      <c r="AK501" s="431"/>
      <c r="AL501" s="431"/>
      <c r="AM501" s="434" t="str">
        <f>IF(($AU$9+15)&gt;$AX$9,"",VLOOKUP($AU$9+15,Spielplan,4,0))</f>
        <v/>
      </c>
      <c r="AN501" s="435"/>
      <c r="AO501" s="435"/>
      <c r="AP501" s="435"/>
      <c r="AQ501" s="436"/>
      <c r="AU501" s="53"/>
      <c r="AV501" s="53"/>
      <c r="AW501" s="53"/>
    </row>
    <row r="502" spans="2:49" ht="9.9499999999999993" hidden="1" customHeight="1" x14ac:dyDescent="0.2">
      <c r="B502" s="74"/>
      <c r="C502" s="80"/>
      <c r="D502" s="74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81"/>
      <c r="S502" s="423"/>
      <c r="T502" s="406"/>
      <c r="U502" s="406"/>
      <c r="V502" s="406"/>
      <c r="W502" s="406"/>
      <c r="X502" s="406"/>
      <c r="Y502" s="425"/>
      <c r="Z502" s="425"/>
      <c r="AA502" s="425"/>
      <c r="AB502" s="425"/>
      <c r="AC502" s="425"/>
      <c r="AD502" s="425"/>
      <c r="AE502" s="425"/>
      <c r="AF502" s="425"/>
      <c r="AG502" s="425"/>
      <c r="AH502" s="432"/>
      <c r="AI502" s="433"/>
      <c r="AJ502" s="433"/>
      <c r="AK502" s="433"/>
      <c r="AL502" s="433"/>
      <c r="AM502" s="437"/>
      <c r="AN502" s="437"/>
      <c r="AO502" s="437"/>
      <c r="AP502" s="437"/>
      <c r="AQ502" s="438"/>
      <c r="AU502" s="53"/>
      <c r="AV502" s="53"/>
      <c r="AW502" s="53"/>
    </row>
    <row r="503" spans="2:49" ht="13.15" hidden="1" customHeight="1" x14ac:dyDescent="0.2">
      <c r="B503" s="74"/>
      <c r="C503" s="80"/>
      <c r="D503" s="74"/>
      <c r="E503" s="67" t="s">
        <v>48</v>
      </c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81"/>
      <c r="S503" s="422" t="s">
        <v>49</v>
      </c>
      <c r="T503" s="406"/>
      <c r="U503" s="406"/>
      <c r="V503" s="406"/>
      <c r="W503" s="406"/>
      <c r="X503" s="406"/>
      <c r="Y503" s="425" t="str">
        <f>IF(($AU$9+15)&gt;$AX$9,"",Platzierung!$U$3)</f>
        <v/>
      </c>
      <c r="Z503" s="425"/>
      <c r="AA503" s="425"/>
      <c r="AB503" s="425"/>
      <c r="AC503" s="425"/>
      <c r="AD503" s="425"/>
      <c r="AE503" s="425"/>
      <c r="AF503" s="425"/>
      <c r="AG503" s="425"/>
      <c r="AH503" s="430" t="s">
        <v>50</v>
      </c>
      <c r="AI503" s="431"/>
      <c r="AJ503" s="431"/>
      <c r="AK503" s="431"/>
      <c r="AL503" s="431"/>
      <c r="AM503" s="434" t="str">
        <f>IF(($AU$9+15)&gt;$AX$9,"",VLOOKUP($AU$9+15,Spielplan,6,0))</f>
        <v/>
      </c>
      <c r="AN503" s="435"/>
      <c r="AO503" s="435"/>
      <c r="AP503" s="435"/>
      <c r="AQ503" s="436"/>
      <c r="AU503" s="53"/>
      <c r="AV503" s="53"/>
      <c r="AW503" s="53"/>
    </row>
    <row r="504" spans="2:49" ht="9.9499999999999993" hidden="1" customHeight="1" x14ac:dyDescent="0.2">
      <c r="B504" s="74"/>
      <c r="C504" s="80"/>
      <c r="D504" s="74"/>
      <c r="E504" s="67"/>
      <c r="F504" s="67"/>
      <c r="G504" s="67"/>
      <c r="H504" s="67"/>
      <c r="I504" s="67"/>
      <c r="J504" s="82" t="s">
        <v>51</v>
      </c>
      <c r="K504" s="67"/>
      <c r="L504" s="67"/>
      <c r="M504" s="67"/>
      <c r="N504" s="67"/>
      <c r="O504" s="67"/>
      <c r="P504" s="67"/>
      <c r="Q504" s="67"/>
      <c r="R504" s="81"/>
      <c r="S504" s="423"/>
      <c r="T504" s="406"/>
      <c r="U504" s="406"/>
      <c r="V504" s="406"/>
      <c r="W504" s="406"/>
      <c r="X504" s="406"/>
      <c r="Y504" s="425"/>
      <c r="Z504" s="425"/>
      <c r="AA504" s="425"/>
      <c r="AB504" s="425"/>
      <c r="AC504" s="425"/>
      <c r="AD504" s="425"/>
      <c r="AE504" s="425"/>
      <c r="AF504" s="425"/>
      <c r="AG504" s="425"/>
      <c r="AH504" s="432"/>
      <c r="AI504" s="433"/>
      <c r="AJ504" s="433"/>
      <c r="AK504" s="433"/>
      <c r="AL504" s="433"/>
      <c r="AM504" s="437"/>
      <c r="AN504" s="437"/>
      <c r="AO504" s="437"/>
      <c r="AP504" s="437"/>
      <c r="AQ504" s="438"/>
      <c r="AU504" s="53"/>
      <c r="AV504" s="53"/>
      <c r="AW504" s="53"/>
    </row>
    <row r="505" spans="2:49" ht="15.75" hidden="1" customHeight="1" x14ac:dyDescent="0.2">
      <c r="B505" s="74"/>
      <c r="C505" s="80"/>
      <c r="D505" s="418" t="str">
        <f>IF(($AU$9+15)&gt;$AX$9,"",VLOOKUP($AU$9+15,Spielplan,10,0))</f>
        <v/>
      </c>
      <c r="E505" s="419"/>
      <c r="F505" s="419"/>
      <c r="G505" s="419"/>
      <c r="H505" s="419"/>
      <c r="I505" s="419"/>
      <c r="J505" s="419"/>
      <c r="K505" s="419"/>
      <c r="L505" s="419"/>
      <c r="M505" s="419"/>
      <c r="N505" s="419"/>
      <c r="O505" s="419"/>
      <c r="P505" s="419"/>
      <c r="Q505" s="419"/>
      <c r="R505" s="420"/>
      <c r="S505" s="422" t="s">
        <v>52</v>
      </c>
      <c r="T505" s="406"/>
      <c r="U505" s="406"/>
      <c r="V505" s="406"/>
      <c r="W505" s="406"/>
      <c r="X505" s="406"/>
      <c r="Y505" s="424" t="str">
        <f>IF(($AU$9+15)&gt;$AX$9,"",VLOOKUP($AU$9+15,Spielplan,2,0))</f>
        <v/>
      </c>
      <c r="Z505" s="425"/>
      <c r="AA505" s="425"/>
      <c r="AB505" s="425"/>
      <c r="AC505" s="425"/>
      <c r="AD505" s="425"/>
      <c r="AE505" s="425"/>
      <c r="AF505" s="425"/>
      <c r="AG505" s="425"/>
      <c r="AH505" s="405" t="s">
        <v>53</v>
      </c>
      <c r="AI505" s="406"/>
      <c r="AJ505" s="406"/>
      <c r="AK505" s="406"/>
      <c r="AL505" s="406"/>
      <c r="AM505" s="400" t="str">
        <f>IF(($AU$9+15)&gt;$AX$9,"",VLOOKUP($AU$9+15,Spielplan,5,0))</f>
        <v/>
      </c>
      <c r="AN505" s="401"/>
      <c r="AO505" s="401"/>
      <c r="AP505" s="401"/>
      <c r="AQ505" s="402"/>
      <c r="AU505" s="53"/>
      <c r="AV505" s="53"/>
      <c r="AW505" s="53"/>
    </row>
    <row r="506" spans="2:49" ht="11.1" hidden="1" customHeight="1" thickBot="1" x14ac:dyDescent="0.25">
      <c r="B506" s="74"/>
      <c r="C506" s="80"/>
      <c r="D506" s="421"/>
      <c r="E506" s="419"/>
      <c r="F506" s="419"/>
      <c r="G506" s="419"/>
      <c r="H506" s="419"/>
      <c r="I506" s="419"/>
      <c r="J506" s="419"/>
      <c r="K506" s="419"/>
      <c r="L506" s="419"/>
      <c r="M506" s="419"/>
      <c r="N506" s="419"/>
      <c r="O506" s="419"/>
      <c r="P506" s="419"/>
      <c r="Q506" s="419"/>
      <c r="R506" s="420"/>
      <c r="S506" s="423"/>
      <c r="T506" s="406"/>
      <c r="U506" s="406"/>
      <c r="V506" s="406"/>
      <c r="W506" s="406"/>
      <c r="X506" s="406"/>
      <c r="Y506" s="425"/>
      <c r="Z506" s="425"/>
      <c r="AA506" s="425"/>
      <c r="AB506" s="425"/>
      <c r="AC506" s="425"/>
      <c r="AD506" s="425"/>
      <c r="AE506" s="425"/>
      <c r="AF506" s="425"/>
      <c r="AG506" s="425"/>
      <c r="AH506" s="407"/>
      <c r="AI506" s="408"/>
      <c r="AJ506" s="408"/>
      <c r="AK506" s="408"/>
      <c r="AL506" s="408"/>
      <c r="AM506" s="403"/>
      <c r="AN506" s="403"/>
      <c r="AO506" s="403"/>
      <c r="AP506" s="403"/>
      <c r="AQ506" s="404"/>
      <c r="AU506" s="53"/>
      <c r="AV506" s="53"/>
      <c r="AW506" s="53"/>
    </row>
    <row r="507" spans="2:49" ht="11.1" hidden="1" customHeight="1" thickBot="1" x14ac:dyDescent="0.25">
      <c r="B507" s="74"/>
      <c r="C507" s="80"/>
      <c r="D507" s="72"/>
      <c r="E507" s="73"/>
      <c r="F507" s="73"/>
      <c r="G507" s="73"/>
      <c r="H507" s="73"/>
      <c r="I507" s="73"/>
      <c r="J507" s="73" t="s">
        <v>54</v>
      </c>
      <c r="K507" s="73"/>
      <c r="L507" s="73"/>
      <c r="M507" s="73"/>
      <c r="N507" s="73"/>
      <c r="O507" s="67"/>
      <c r="P507" s="67"/>
      <c r="Q507" s="73"/>
      <c r="R507" s="83"/>
      <c r="S507" s="74"/>
      <c r="T507" s="67"/>
      <c r="U507" s="67"/>
      <c r="V507" s="67"/>
      <c r="W507" s="67"/>
      <c r="X507" s="67"/>
      <c r="Y507" s="409"/>
      <c r="Z507" s="409"/>
      <c r="AA507" s="409"/>
      <c r="AB507" s="409"/>
      <c r="AC507" s="409"/>
      <c r="AD507" s="409"/>
      <c r="AE507" s="409"/>
      <c r="AF507" s="410"/>
      <c r="AG507" s="411"/>
      <c r="AH507" s="84" t="s">
        <v>55</v>
      </c>
      <c r="AI507" s="67"/>
      <c r="AJ507" s="67"/>
      <c r="AK507" s="67"/>
      <c r="AL507" s="67"/>
      <c r="AM507" s="67"/>
      <c r="AN507" s="67"/>
      <c r="AO507" s="85"/>
      <c r="AP507" s="67"/>
      <c r="AQ507" s="81"/>
      <c r="AU507" s="53"/>
      <c r="AV507" s="53"/>
      <c r="AW507" s="53"/>
    </row>
    <row r="508" spans="2:49" ht="13.5" hidden="1" customHeight="1" thickBot="1" x14ac:dyDescent="0.3">
      <c r="B508" s="74"/>
      <c r="C508" s="80"/>
      <c r="D508" s="68"/>
      <c r="E508" s="78" t="s">
        <v>8</v>
      </c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412" t="s">
        <v>56</v>
      </c>
      <c r="R508" s="68"/>
      <c r="S508" s="68"/>
      <c r="T508" s="78" t="s">
        <v>7</v>
      </c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9"/>
      <c r="AF508" s="415" t="s">
        <v>56</v>
      </c>
      <c r="AG508" s="74"/>
      <c r="AH508" s="86" t="s">
        <v>57</v>
      </c>
      <c r="AI508" s="73"/>
      <c r="AJ508" s="73"/>
      <c r="AK508" s="73"/>
      <c r="AL508" s="73"/>
      <c r="AM508" s="73"/>
      <c r="AN508" s="73"/>
      <c r="AO508" s="87"/>
      <c r="AP508" s="67"/>
      <c r="AQ508" s="81"/>
      <c r="AU508" s="53"/>
      <c r="AV508" s="53"/>
      <c r="AW508" s="53"/>
    </row>
    <row r="509" spans="2:49" ht="12" hidden="1" customHeight="1" thickBot="1" x14ac:dyDescent="0.25">
      <c r="B509" s="74"/>
      <c r="C509" s="80"/>
      <c r="D509" s="418" t="str">
        <f>IF(($AU$9+15)&gt;$AX$9,"",VLOOKUP($AU$9+15,Spielplan,7,0))</f>
        <v/>
      </c>
      <c r="E509" s="419"/>
      <c r="F509" s="419"/>
      <c r="G509" s="419"/>
      <c r="H509" s="419"/>
      <c r="I509" s="419"/>
      <c r="J509" s="419"/>
      <c r="K509" s="419"/>
      <c r="L509" s="419"/>
      <c r="M509" s="419"/>
      <c r="N509" s="419"/>
      <c r="O509" s="419"/>
      <c r="P509" s="420"/>
      <c r="Q509" s="413"/>
      <c r="R509" s="74"/>
      <c r="S509" s="418" t="str">
        <f>IF(($AU$9+15)&gt;$AX$9,"",VLOOKUP($AU$9+15,Spielplan,9,0))</f>
        <v/>
      </c>
      <c r="T509" s="419"/>
      <c r="U509" s="419"/>
      <c r="V509" s="419"/>
      <c r="W509" s="419"/>
      <c r="X509" s="419"/>
      <c r="Y509" s="419"/>
      <c r="Z509" s="419"/>
      <c r="AA509" s="419"/>
      <c r="AB509" s="419"/>
      <c r="AC509" s="419"/>
      <c r="AD509" s="419"/>
      <c r="AE509" s="429"/>
      <c r="AF509" s="416"/>
      <c r="AG509" s="74"/>
      <c r="AH509" s="394" t="s">
        <v>58</v>
      </c>
      <c r="AI509" s="395"/>
      <c r="AJ509" s="395"/>
      <c r="AK509" s="395"/>
      <c r="AL509" s="395"/>
      <c r="AM509" s="396"/>
      <c r="AN509" s="88" t="s">
        <v>59</v>
      </c>
      <c r="AO509" s="89"/>
      <c r="AP509" s="89"/>
      <c r="AQ509" s="87"/>
      <c r="AU509" s="53"/>
      <c r="AV509" s="53"/>
      <c r="AW509" s="53"/>
    </row>
    <row r="510" spans="2:49" ht="12" hidden="1" customHeight="1" thickBot="1" x14ac:dyDescent="0.25">
      <c r="B510" s="72"/>
      <c r="C510" s="85"/>
      <c r="D510" s="426"/>
      <c r="E510" s="427"/>
      <c r="F510" s="427"/>
      <c r="G510" s="427"/>
      <c r="H510" s="427"/>
      <c r="I510" s="427"/>
      <c r="J510" s="427"/>
      <c r="K510" s="427"/>
      <c r="L510" s="427"/>
      <c r="M510" s="427"/>
      <c r="N510" s="427"/>
      <c r="O510" s="427"/>
      <c r="P510" s="428"/>
      <c r="Q510" s="414"/>
      <c r="R510" s="72"/>
      <c r="S510" s="426"/>
      <c r="T510" s="427"/>
      <c r="U510" s="427"/>
      <c r="V510" s="427"/>
      <c r="W510" s="427"/>
      <c r="X510" s="427"/>
      <c r="Y510" s="427"/>
      <c r="Z510" s="427"/>
      <c r="AA510" s="427"/>
      <c r="AB510" s="427"/>
      <c r="AC510" s="427"/>
      <c r="AD510" s="427"/>
      <c r="AE510" s="389"/>
      <c r="AF510" s="417"/>
      <c r="AG510" s="72"/>
      <c r="AH510" s="397"/>
      <c r="AI510" s="398"/>
      <c r="AJ510" s="398"/>
      <c r="AK510" s="398"/>
      <c r="AL510" s="398"/>
      <c r="AM510" s="399"/>
      <c r="AN510" s="88" t="s">
        <v>60</v>
      </c>
      <c r="AO510" s="89"/>
      <c r="AP510" s="89"/>
      <c r="AQ510" s="87"/>
      <c r="AU510" s="53"/>
      <c r="AV510" s="53"/>
      <c r="AW510" s="53"/>
    </row>
    <row r="511" spans="2:49" ht="9.9499999999999993" hidden="1" customHeight="1" thickBot="1" x14ac:dyDescent="0.25">
      <c r="B511" s="74"/>
      <c r="C511" s="7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81"/>
      <c r="AU511" s="53"/>
      <c r="AV511" s="53"/>
      <c r="AW511" s="53"/>
    </row>
    <row r="512" spans="2:49" hidden="1" x14ac:dyDescent="0.2">
      <c r="B512" s="68"/>
      <c r="C512" s="77" t="s">
        <v>59</v>
      </c>
      <c r="D512" s="90"/>
      <c r="E512" s="91"/>
      <c r="F512" s="91"/>
      <c r="G512" s="91"/>
      <c r="H512" s="92"/>
      <c r="I512" s="90"/>
      <c r="J512" s="91"/>
      <c r="K512" s="91"/>
      <c r="L512" s="91"/>
      <c r="M512" s="92"/>
      <c r="N512" s="90"/>
      <c r="O512" s="91"/>
      <c r="P512" s="91"/>
      <c r="Q512" s="91"/>
      <c r="R512" s="92"/>
      <c r="S512" s="90"/>
      <c r="T512" s="91"/>
      <c r="U512" s="91"/>
      <c r="V512" s="91"/>
      <c r="W512" s="92"/>
      <c r="X512" s="90"/>
      <c r="Y512" s="91"/>
      <c r="Z512" s="91"/>
      <c r="AA512" s="91"/>
      <c r="AB512" s="92"/>
      <c r="AC512" s="90"/>
      <c r="AD512" s="91"/>
      <c r="AE512" s="91"/>
      <c r="AF512" s="91"/>
      <c r="AG512" s="92"/>
      <c r="AH512" s="90"/>
      <c r="AI512" s="91"/>
      <c r="AJ512" s="91"/>
      <c r="AK512" s="91"/>
      <c r="AL512" s="91"/>
      <c r="AM512" s="206" t="s">
        <v>59</v>
      </c>
      <c r="AN512" s="392"/>
      <c r="AO512" s="392"/>
      <c r="AP512" s="392"/>
      <c r="AQ512" s="393"/>
      <c r="AU512" s="53"/>
      <c r="AV512" s="53"/>
      <c r="AW512" s="53"/>
    </row>
    <row r="513" spans="2:49" ht="13.5" hidden="1" thickBot="1" x14ac:dyDescent="0.25">
      <c r="B513" s="72"/>
      <c r="C513" s="85" t="s">
        <v>60</v>
      </c>
      <c r="D513" s="72"/>
      <c r="E513" s="93"/>
      <c r="F513" s="93"/>
      <c r="G513" s="93"/>
      <c r="H513" s="94"/>
      <c r="I513" s="72"/>
      <c r="J513" s="93"/>
      <c r="K513" s="93"/>
      <c r="L513" s="93"/>
      <c r="M513" s="94"/>
      <c r="N513" s="72"/>
      <c r="O513" s="93"/>
      <c r="P513" s="93"/>
      <c r="Q513" s="93"/>
      <c r="R513" s="94"/>
      <c r="S513" s="72"/>
      <c r="T513" s="93"/>
      <c r="U513" s="93"/>
      <c r="V513" s="93"/>
      <c r="W513" s="94"/>
      <c r="X513" s="72"/>
      <c r="Y513" s="93"/>
      <c r="Z513" s="93"/>
      <c r="AA513" s="93"/>
      <c r="AB513" s="94"/>
      <c r="AC513" s="72"/>
      <c r="AD513" s="93"/>
      <c r="AE513" s="93"/>
      <c r="AF513" s="93"/>
      <c r="AG513" s="94"/>
      <c r="AH513" s="72"/>
      <c r="AI513" s="93"/>
      <c r="AJ513" s="93"/>
      <c r="AK513" s="93"/>
      <c r="AL513" s="93"/>
      <c r="AM513" s="208" t="s">
        <v>60</v>
      </c>
      <c r="AN513" s="326"/>
      <c r="AO513" s="326"/>
      <c r="AP513" s="326"/>
      <c r="AQ513" s="327"/>
      <c r="AU513" s="53"/>
      <c r="AV513" s="53"/>
      <c r="AW513" s="53"/>
    </row>
    <row r="514" spans="2:49" hidden="1" x14ac:dyDescent="0.2">
      <c r="B514" s="68"/>
      <c r="C514" s="77" t="s">
        <v>59</v>
      </c>
      <c r="D514" s="90"/>
      <c r="E514" s="91"/>
      <c r="F514" s="91"/>
      <c r="G514" s="91"/>
      <c r="H514" s="92"/>
      <c r="I514" s="90"/>
      <c r="J514" s="91"/>
      <c r="K514" s="91"/>
      <c r="L514" s="91"/>
      <c r="M514" s="92"/>
      <c r="N514" s="90"/>
      <c r="O514" s="91"/>
      <c r="P514" s="91"/>
      <c r="Q514" s="91"/>
      <c r="R514" s="92"/>
      <c r="S514" s="90"/>
      <c r="T514" s="91"/>
      <c r="U514" s="91"/>
      <c r="V514" s="91"/>
      <c r="W514" s="92"/>
      <c r="X514" s="90"/>
      <c r="Y514" s="91"/>
      <c r="Z514" s="91"/>
      <c r="AA514" s="91"/>
      <c r="AB514" s="92"/>
      <c r="AC514" s="90"/>
      <c r="AD514" s="91"/>
      <c r="AE514" s="91"/>
      <c r="AF514" s="91"/>
      <c r="AG514" s="92"/>
      <c r="AH514" s="90"/>
      <c r="AI514" s="91"/>
      <c r="AJ514" s="91"/>
      <c r="AK514" s="91"/>
      <c r="AL514" s="91"/>
      <c r="AM514" s="206" t="s">
        <v>59</v>
      </c>
      <c r="AN514" s="392"/>
      <c r="AO514" s="392"/>
      <c r="AP514" s="392"/>
      <c r="AQ514" s="393"/>
      <c r="AU514" s="53"/>
      <c r="AV514" s="53"/>
      <c r="AW514" s="53"/>
    </row>
    <row r="515" spans="2:49" ht="13.5" hidden="1" thickBot="1" x14ac:dyDescent="0.25">
      <c r="B515" s="72"/>
      <c r="C515" s="85" t="s">
        <v>60</v>
      </c>
      <c r="D515" s="72"/>
      <c r="E515" s="93"/>
      <c r="F515" s="93"/>
      <c r="G515" s="93"/>
      <c r="H515" s="94"/>
      <c r="I515" s="72"/>
      <c r="J515" s="93"/>
      <c r="K515" s="93"/>
      <c r="L515" s="93"/>
      <c r="M515" s="94"/>
      <c r="N515" s="72"/>
      <c r="O515" s="93"/>
      <c r="P515" s="93"/>
      <c r="Q515" s="93"/>
      <c r="R515" s="94"/>
      <c r="S515" s="72"/>
      <c r="T515" s="93"/>
      <c r="U515" s="93"/>
      <c r="V515" s="93"/>
      <c r="W515" s="94"/>
      <c r="X515" s="72"/>
      <c r="Y515" s="93"/>
      <c r="Z515" s="93"/>
      <c r="AA515" s="93"/>
      <c r="AB515" s="94"/>
      <c r="AC515" s="72"/>
      <c r="AD515" s="93"/>
      <c r="AE515" s="93"/>
      <c r="AF515" s="93"/>
      <c r="AG515" s="94"/>
      <c r="AH515" s="72"/>
      <c r="AI515" s="93"/>
      <c r="AJ515" s="93"/>
      <c r="AK515" s="93"/>
      <c r="AL515" s="93"/>
      <c r="AM515" s="207" t="s">
        <v>60</v>
      </c>
      <c r="AN515" s="347"/>
      <c r="AO515" s="347"/>
      <c r="AP515" s="347"/>
      <c r="AQ515" s="348"/>
      <c r="AU515" s="53"/>
      <c r="AV515" s="53"/>
      <c r="AW515" s="53"/>
    </row>
    <row r="516" spans="2:49" hidden="1" x14ac:dyDescent="0.2">
      <c r="B516" s="68"/>
      <c r="C516" s="77" t="s">
        <v>59</v>
      </c>
      <c r="D516" s="90"/>
      <c r="E516" s="91"/>
      <c r="F516" s="91"/>
      <c r="G516" s="91"/>
      <c r="H516" s="92"/>
      <c r="I516" s="90"/>
      <c r="J516" s="91"/>
      <c r="K516" s="91"/>
      <c r="L516" s="91"/>
      <c r="M516" s="92"/>
      <c r="N516" s="90"/>
      <c r="O516" s="91"/>
      <c r="P516" s="91"/>
      <c r="Q516" s="91"/>
      <c r="R516" s="92"/>
      <c r="S516" s="90"/>
      <c r="T516" s="91"/>
      <c r="U516" s="91"/>
      <c r="V516" s="91"/>
      <c r="W516" s="92"/>
      <c r="X516" s="90"/>
      <c r="Y516" s="91"/>
      <c r="Z516" s="91"/>
      <c r="AA516" s="91"/>
      <c r="AB516" s="92"/>
      <c r="AC516" s="90"/>
      <c r="AD516" s="91"/>
      <c r="AE516" s="91"/>
      <c r="AF516" s="91"/>
      <c r="AG516" s="92"/>
      <c r="AH516" s="90"/>
      <c r="AI516" s="91"/>
      <c r="AJ516" s="91"/>
      <c r="AK516" s="91"/>
      <c r="AL516" s="91"/>
      <c r="AM516" s="206" t="s">
        <v>59</v>
      </c>
      <c r="AN516" s="392"/>
      <c r="AO516" s="392"/>
      <c r="AP516" s="392"/>
      <c r="AQ516" s="393"/>
      <c r="AU516" s="53"/>
      <c r="AV516" s="53"/>
      <c r="AW516" s="53"/>
    </row>
    <row r="517" spans="2:49" ht="13.5" hidden="1" thickBot="1" x14ac:dyDescent="0.25">
      <c r="B517" s="72"/>
      <c r="C517" s="85" t="s">
        <v>60</v>
      </c>
      <c r="D517" s="72"/>
      <c r="E517" s="93"/>
      <c r="F517" s="93"/>
      <c r="G517" s="93"/>
      <c r="H517" s="94"/>
      <c r="I517" s="72"/>
      <c r="J517" s="93"/>
      <c r="K517" s="93"/>
      <c r="L517" s="93"/>
      <c r="M517" s="94"/>
      <c r="N517" s="72"/>
      <c r="O517" s="93"/>
      <c r="P517" s="93"/>
      <c r="Q517" s="93"/>
      <c r="R517" s="94"/>
      <c r="S517" s="72"/>
      <c r="T517" s="93"/>
      <c r="U517" s="93"/>
      <c r="V517" s="93"/>
      <c r="W517" s="94"/>
      <c r="X517" s="72"/>
      <c r="Y517" s="93"/>
      <c r="Z517" s="93"/>
      <c r="AA517" s="93"/>
      <c r="AB517" s="94"/>
      <c r="AC517" s="72"/>
      <c r="AD517" s="93"/>
      <c r="AE517" s="93"/>
      <c r="AF517" s="93"/>
      <c r="AG517" s="94"/>
      <c r="AH517" s="72"/>
      <c r="AI517" s="93"/>
      <c r="AJ517" s="93"/>
      <c r="AK517" s="93"/>
      <c r="AL517" s="93"/>
      <c r="AM517" s="207" t="s">
        <v>60</v>
      </c>
      <c r="AN517" s="347"/>
      <c r="AO517" s="347"/>
      <c r="AP517" s="347"/>
      <c r="AQ517" s="348"/>
      <c r="AU517" s="53"/>
      <c r="AV517" s="53"/>
      <c r="AW517" s="53"/>
    </row>
    <row r="518" spans="2:49" ht="9.9499999999999993" hidden="1" customHeight="1" x14ac:dyDescent="0.2">
      <c r="B518" s="74"/>
      <c r="C518" s="74"/>
      <c r="D518" s="378" t="s">
        <v>61</v>
      </c>
      <c r="E518" s="379"/>
      <c r="F518" s="380"/>
      <c r="G518" s="384" t="s">
        <v>62</v>
      </c>
      <c r="H518" s="385"/>
      <c r="I518" s="385"/>
      <c r="J518" s="385"/>
      <c r="K518" s="385"/>
      <c r="L518" s="385"/>
      <c r="M518" s="385"/>
      <c r="N518" s="385"/>
      <c r="O518" s="386"/>
      <c r="P518" s="390" t="s">
        <v>56</v>
      </c>
      <c r="Q518" s="390" t="s">
        <v>63</v>
      </c>
      <c r="R518" s="67"/>
      <c r="S518" s="378" t="s">
        <v>61</v>
      </c>
      <c r="T518" s="379"/>
      <c r="U518" s="380"/>
      <c r="V518" s="384" t="s">
        <v>62</v>
      </c>
      <c r="W518" s="385"/>
      <c r="X518" s="385"/>
      <c r="Y518" s="385"/>
      <c r="Z518" s="385"/>
      <c r="AA518" s="385"/>
      <c r="AB518" s="385"/>
      <c r="AC518" s="385"/>
      <c r="AD518" s="386"/>
      <c r="AE518" s="390" t="s">
        <v>56</v>
      </c>
      <c r="AF518" s="390" t="s">
        <v>63</v>
      </c>
      <c r="AG518" s="95"/>
      <c r="AH518" s="96"/>
      <c r="AI518" s="96"/>
      <c r="AJ518" s="96"/>
      <c r="AK518" s="96"/>
      <c r="AL518" s="96"/>
      <c r="AM518" s="114"/>
      <c r="AN518" s="377" t="s">
        <v>1</v>
      </c>
      <c r="AO518" s="377"/>
      <c r="AP518" s="377" t="s">
        <v>2</v>
      </c>
      <c r="AQ518" s="377"/>
      <c r="AR518" s="97"/>
      <c r="AU518" s="53"/>
      <c r="AV518" s="53"/>
      <c r="AW518" s="53"/>
    </row>
    <row r="519" spans="2:49" ht="13.5" hidden="1" thickBot="1" x14ac:dyDescent="0.25">
      <c r="B519" s="74"/>
      <c r="C519" s="74"/>
      <c r="D519" s="381"/>
      <c r="E519" s="382"/>
      <c r="F519" s="383"/>
      <c r="G519" s="387"/>
      <c r="H519" s="388"/>
      <c r="I519" s="388"/>
      <c r="J519" s="388"/>
      <c r="K519" s="388"/>
      <c r="L519" s="388"/>
      <c r="M519" s="388"/>
      <c r="N519" s="388"/>
      <c r="O519" s="389"/>
      <c r="P519" s="391"/>
      <c r="Q519" s="391"/>
      <c r="R519" s="67"/>
      <c r="S519" s="381"/>
      <c r="T519" s="382"/>
      <c r="U519" s="383"/>
      <c r="V519" s="387"/>
      <c r="W519" s="388"/>
      <c r="X519" s="388"/>
      <c r="Y519" s="388"/>
      <c r="Z519" s="388"/>
      <c r="AA519" s="388"/>
      <c r="AB519" s="388"/>
      <c r="AC519" s="388"/>
      <c r="AD519" s="389"/>
      <c r="AE519" s="391"/>
      <c r="AF519" s="391"/>
      <c r="AG519" s="98"/>
      <c r="AH519" s="67"/>
      <c r="AI519" s="99" t="s">
        <v>64</v>
      </c>
      <c r="AJ519" s="99"/>
      <c r="AK519" s="99"/>
      <c r="AL519" s="99"/>
      <c r="AM519" s="99"/>
      <c r="AN519" s="99"/>
      <c r="AO519" s="100"/>
      <c r="AP519" s="100"/>
      <c r="AQ519" s="101"/>
      <c r="AR519" s="97"/>
      <c r="AU519" s="53"/>
      <c r="AV519" s="53"/>
      <c r="AW519" s="53"/>
    </row>
    <row r="520" spans="2:49" ht="13.5" hidden="1" customHeight="1" x14ac:dyDescent="0.2">
      <c r="B520" s="74"/>
      <c r="C520" s="74"/>
      <c r="D520" s="216"/>
      <c r="E520" s="209"/>
      <c r="F520" s="210"/>
      <c r="G520" s="211" t="s">
        <v>65</v>
      </c>
      <c r="H520" s="212"/>
      <c r="I520" s="212"/>
      <c r="J520" s="212"/>
      <c r="K520" s="212"/>
      <c r="L520" s="212"/>
      <c r="M520" s="212"/>
      <c r="N520" s="212"/>
      <c r="O520" s="213"/>
      <c r="P520" s="214"/>
      <c r="Q520" s="214"/>
      <c r="R520" s="215"/>
      <c r="S520" s="216"/>
      <c r="T520" s="209"/>
      <c r="U520" s="210"/>
      <c r="V520" s="211" t="s">
        <v>65</v>
      </c>
      <c r="W520" s="212"/>
      <c r="X520" s="212"/>
      <c r="Y520" s="212"/>
      <c r="Z520" s="212"/>
      <c r="AA520" s="212"/>
      <c r="AB520" s="212"/>
      <c r="AC520" s="212"/>
      <c r="AD520" s="213"/>
      <c r="AE520" s="214"/>
      <c r="AF520" s="214"/>
      <c r="AG520" s="365" t="s">
        <v>83</v>
      </c>
      <c r="AH520" s="366"/>
      <c r="AI520" s="366"/>
      <c r="AJ520" s="367"/>
      <c r="AK520" s="371" t="s">
        <v>66</v>
      </c>
      <c r="AL520" s="372"/>
      <c r="AM520" s="372"/>
      <c r="AN520" s="372"/>
      <c r="AO520" s="372"/>
      <c r="AP520" s="372"/>
      <c r="AQ520" s="373"/>
      <c r="AU520" s="53"/>
      <c r="AV520" s="53"/>
      <c r="AW520" s="53"/>
    </row>
    <row r="521" spans="2:49" ht="13.5" hidden="1" customHeight="1" thickBot="1" x14ac:dyDescent="0.25">
      <c r="B521" s="74"/>
      <c r="C521" s="74"/>
      <c r="D521" s="216"/>
      <c r="E521" s="209"/>
      <c r="F521" s="210"/>
      <c r="G521" s="217">
        <v>2</v>
      </c>
      <c r="H521" s="209"/>
      <c r="I521" s="209"/>
      <c r="J521" s="209"/>
      <c r="K521" s="209"/>
      <c r="L521" s="209"/>
      <c r="M521" s="209"/>
      <c r="N521" s="209"/>
      <c r="O521" s="210"/>
      <c r="P521" s="214"/>
      <c r="Q521" s="214"/>
      <c r="R521" s="215"/>
      <c r="S521" s="216"/>
      <c r="T521" s="209"/>
      <c r="U521" s="210"/>
      <c r="V521" s="217">
        <v>2</v>
      </c>
      <c r="W521" s="209"/>
      <c r="X521" s="209"/>
      <c r="Y521" s="209"/>
      <c r="Z521" s="209"/>
      <c r="AA521" s="209"/>
      <c r="AB521" s="209"/>
      <c r="AC521" s="209"/>
      <c r="AD521" s="210"/>
      <c r="AE521" s="214"/>
      <c r="AF521" s="214"/>
      <c r="AG521" s="368"/>
      <c r="AH521" s="369"/>
      <c r="AI521" s="369"/>
      <c r="AJ521" s="370"/>
      <c r="AK521" s="374"/>
      <c r="AL521" s="375"/>
      <c r="AM521" s="375"/>
      <c r="AN521" s="375"/>
      <c r="AO521" s="375"/>
      <c r="AP521" s="375"/>
      <c r="AQ521" s="376"/>
      <c r="AU521" s="53"/>
      <c r="AV521" s="53"/>
      <c r="AW521" s="53"/>
    </row>
    <row r="522" spans="2:49" ht="13.5" hidden="1" customHeight="1" x14ac:dyDescent="0.2">
      <c r="B522" s="74"/>
      <c r="C522" s="74"/>
      <c r="D522" s="216"/>
      <c r="E522" s="209"/>
      <c r="F522" s="210"/>
      <c r="G522" s="217">
        <v>3</v>
      </c>
      <c r="H522" s="209"/>
      <c r="I522" s="209"/>
      <c r="J522" s="209"/>
      <c r="K522" s="209"/>
      <c r="L522" s="209"/>
      <c r="M522" s="209"/>
      <c r="N522" s="209"/>
      <c r="O522" s="210"/>
      <c r="P522" s="214"/>
      <c r="Q522" s="214"/>
      <c r="R522" s="215"/>
      <c r="S522" s="216"/>
      <c r="T522" s="209"/>
      <c r="U522" s="210"/>
      <c r="V522" s="217">
        <v>3</v>
      </c>
      <c r="W522" s="209"/>
      <c r="X522" s="209"/>
      <c r="Y522" s="209"/>
      <c r="Z522" s="209"/>
      <c r="AA522" s="209"/>
      <c r="AB522" s="209"/>
      <c r="AC522" s="209"/>
      <c r="AD522" s="210"/>
      <c r="AE522" s="214"/>
      <c r="AF522" s="214"/>
      <c r="AG522" s="365" t="s">
        <v>2</v>
      </c>
      <c r="AH522" s="366"/>
      <c r="AI522" s="366"/>
      <c r="AJ522" s="367"/>
      <c r="AK522" s="371" t="s">
        <v>66</v>
      </c>
      <c r="AL522" s="372"/>
      <c r="AM522" s="372"/>
      <c r="AN522" s="372"/>
      <c r="AO522" s="372"/>
      <c r="AP522" s="372"/>
      <c r="AQ522" s="373"/>
      <c r="AU522" s="53"/>
      <c r="AV522" s="53"/>
      <c r="AW522" s="53"/>
    </row>
    <row r="523" spans="2:49" ht="13.5" hidden="1" customHeight="1" thickBot="1" x14ac:dyDescent="0.25">
      <c r="B523" s="74"/>
      <c r="C523" s="74"/>
      <c r="D523" s="216"/>
      <c r="E523" s="209"/>
      <c r="F523" s="210"/>
      <c r="G523" s="217">
        <v>4</v>
      </c>
      <c r="H523" s="209"/>
      <c r="I523" s="209"/>
      <c r="J523" s="209"/>
      <c r="K523" s="209"/>
      <c r="L523" s="209"/>
      <c r="M523" s="209"/>
      <c r="N523" s="209"/>
      <c r="O523" s="210"/>
      <c r="P523" s="214"/>
      <c r="Q523" s="214"/>
      <c r="R523" s="215"/>
      <c r="S523" s="216"/>
      <c r="T523" s="209"/>
      <c r="U523" s="210"/>
      <c r="V523" s="217">
        <v>4</v>
      </c>
      <c r="W523" s="209"/>
      <c r="X523" s="209"/>
      <c r="Y523" s="209"/>
      <c r="Z523" s="209"/>
      <c r="AA523" s="209"/>
      <c r="AB523" s="209"/>
      <c r="AC523" s="209"/>
      <c r="AD523" s="210"/>
      <c r="AE523" s="214"/>
      <c r="AF523" s="214"/>
      <c r="AG523" s="368"/>
      <c r="AH523" s="369"/>
      <c r="AI523" s="369"/>
      <c r="AJ523" s="370"/>
      <c r="AK523" s="374"/>
      <c r="AL523" s="375"/>
      <c r="AM523" s="375"/>
      <c r="AN523" s="375"/>
      <c r="AO523" s="375"/>
      <c r="AP523" s="375"/>
      <c r="AQ523" s="376"/>
      <c r="AU523" s="53"/>
      <c r="AV523" s="53"/>
      <c r="AW523" s="53"/>
    </row>
    <row r="524" spans="2:49" ht="13.5" hidden="1" customHeight="1" x14ac:dyDescent="0.2">
      <c r="B524" s="74"/>
      <c r="C524" s="74"/>
      <c r="D524" s="216"/>
      <c r="E524" s="209"/>
      <c r="F524" s="210"/>
      <c r="G524" s="217">
        <v>5</v>
      </c>
      <c r="H524" s="209"/>
      <c r="I524" s="209"/>
      <c r="J524" s="209"/>
      <c r="K524" s="209"/>
      <c r="L524" s="209"/>
      <c r="M524" s="209"/>
      <c r="N524" s="209"/>
      <c r="O524" s="210"/>
      <c r="P524" s="214"/>
      <c r="Q524" s="214"/>
      <c r="R524" s="215"/>
      <c r="S524" s="216"/>
      <c r="T524" s="209"/>
      <c r="U524" s="210"/>
      <c r="V524" s="217">
        <v>5</v>
      </c>
      <c r="W524" s="209"/>
      <c r="X524" s="209"/>
      <c r="Y524" s="209"/>
      <c r="Z524" s="209"/>
      <c r="AA524" s="209"/>
      <c r="AB524" s="209"/>
      <c r="AC524" s="209"/>
      <c r="AD524" s="210"/>
      <c r="AE524" s="214"/>
      <c r="AF524" s="214"/>
      <c r="AG524" s="102" t="s">
        <v>67</v>
      </c>
      <c r="AH524" s="70"/>
      <c r="AI524" s="70"/>
      <c r="AJ524" s="70"/>
      <c r="AK524" s="70"/>
      <c r="AL524" s="70"/>
      <c r="AM524" s="70"/>
      <c r="AN524" s="70"/>
      <c r="AO524" s="70" t="s">
        <v>68</v>
      </c>
      <c r="AP524" s="70"/>
      <c r="AQ524" s="79"/>
      <c r="AU524" s="53"/>
      <c r="AV524" s="53"/>
      <c r="AW524" s="53"/>
    </row>
    <row r="525" spans="2:49" ht="13.5" hidden="1" customHeight="1" x14ac:dyDescent="0.2">
      <c r="B525" s="74"/>
      <c r="C525" s="74"/>
      <c r="D525" s="216"/>
      <c r="E525" s="209"/>
      <c r="F525" s="210"/>
      <c r="G525" s="217">
        <v>6</v>
      </c>
      <c r="H525" s="209"/>
      <c r="I525" s="209"/>
      <c r="J525" s="209"/>
      <c r="K525" s="209"/>
      <c r="L525" s="209"/>
      <c r="M525" s="209"/>
      <c r="N525" s="209"/>
      <c r="O525" s="210"/>
      <c r="P525" s="214"/>
      <c r="Q525" s="214"/>
      <c r="R525" s="215"/>
      <c r="S525" s="216"/>
      <c r="T525" s="209"/>
      <c r="U525" s="210"/>
      <c r="V525" s="217">
        <v>6</v>
      </c>
      <c r="W525" s="209"/>
      <c r="X525" s="209"/>
      <c r="Y525" s="209"/>
      <c r="Z525" s="209"/>
      <c r="AA525" s="209"/>
      <c r="AB525" s="209"/>
      <c r="AC525" s="209"/>
      <c r="AD525" s="210"/>
      <c r="AE525" s="214"/>
      <c r="AF525" s="214"/>
      <c r="AG525" s="103"/>
      <c r="AH525" s="67"/>
      <c r="AI525" s="67"/>
      <c r="AJ525" s="67"/>
      <c r="AK525" s="67"/>
      <c r="AL525" s="67"/>
      <c r="AM525" s="67"/>
      <c r="AN525" s="67"/>
      <c r="AO525" s="67"/>
      <c r="AP525" s="67"/>
      <c r="AQ525" s="81"/>
      <c r="AU525" s="53"/>
      <c r="AV525" s="53"/>
      <c r="AW525" s="53"/>
    </row>
    <row r="526" spans="2:49" ht="13.5" hidden="1" customHeight="1" thickBot="1" x14ac:dyDescent="0.25">
      <c r="B526" s="74"/>
      <c r="C526" s="74"/>
      <c r="D526" s="216"/>
      <c r="E526" s="209"/>
      <c r="F526" s="210"/>
      <c r="G526" s="217">
        <v>7</v>
      </c>
      <c r="H526" s="209"/>
      <c r="I526" s="209"/>
      <c r="J526" s="209"/>
      <c r="K526" s="209"/>
      <c r="L526" s="209"/>
      <c r="M526" s="209"/>
      <c r="N526" s="209"/>
      <c r="O526" s="210"/>
      <c r="P526" s="214"/>
      <c r="Q526" s="214"/>
      <c r="R526" s="215"/>
      <c r="S526" s="216"/>
      <c r="T526" s="209"/>
      <c r="U526" s="210"/>
      <c r="V526" s="217">
        <v>7</v>
      </c>
      <c r="W526" s="209"/>
      <c r="X526" s="209"/>
      <c r="Y526" s="209"/>
      <c r="Z526" s="209"/>
      <c r="AA526" s="209"/>
      <c r="AB526" s="209"/>
      <c r="AC526" s="209"/>
      <c r="AD526" s="210"/>
      <c r="AE526" s="214"/>
      <c r="AF526" s="214"/>
      <c r="AG526" s="74" t="s">
        <v>69</v>
      </c>
      <c r="AH526" s="67"/>
      <c r="AI526" s="67"/>
      <c r="AJ526" s="67"/>
      <c r="AK526" s="67"/>
      <c r="AL526" s="67"/>
      <c r="AM526" s="67"/>
      <c r="AN526" s="67"/>
      <c r="AO526" s="67"/>
      <c r="AP526" s="67"/>
      <c r="AQ526" s="81"/>
      <c r="AU526" s="53"/>
      <c r="AV526" s="53"/>
      <c r="AW526" s="53"/>
    </row>
    <row r="527" spans="2:49" ht="13.5" hidden="1" customHeight="1" thickBot="1" x14ac:dyDescent="0.25">
      <c r="B527" s="74"/>
      <c r="C527" s="74"/>
      <c r="D527" s="222"/>
      <c r="E527" s="218"/>
      <c r="F527" s="219"/>
      <c r="G527" s="220">
        <v>8</v>
      </c>
      <c r="H527" s="218"/>
      <c r="I527" s="218"/>
      <c r="J527" s="218"/>
      <c r="K527" s="218"/>
      <c r="L527" s="218"/>
      <c r="M527" s="218"/>
      <c r="N527" s="218"/>
      <c r="O527" s="219"/>
      <c r="P527" s="221"/>
      <c r="Q527" s="221"/>
      <c r="R527" s="215"/>
      <c r="S527" s="222"/>
      <c r="T527" s="218"/>
      <c r="U527" s="219"/>
      <c r="V527" s="220">
        <v>8</v>
      </c>
      <c r="W527" s="218"/>
      <c r="X527" s="218"/>
      <c r="Y527" s="218"/>
      <c r="Z527" s="218"/>
      <c r="AA527" s="218"/>
      <c r="AB527" s="218"/>
      <c r="AC527" s="218"/>
      <c r="AD527" s="219"/>
      <c r="AE527" s="221"/>
      <c r="AF527" s="221"/>
      <c r="AG527" s="104" t="s">
        <v>70</v>
      </c>
      <c r="AH527" s="70"/>
      <c r="AI527" s="70"/>
      <c r="AJ527" s="70"/>
      <c r="AK527" s="70"/>
      <c r="AL527" s="70"/>
      <c r="AM527" s="70"/>
      <c r="AN527" s="70"/>
      <c r="AO527" s="70"/>
      <c r="AP527" s="70"/>
      <c r="AQ527" s="79"/>
      <c r="AU527" s="53"/>
      <c r="AV527" s="53"/>
      <c r="AW527" s="53"/>
    </row>
    <row r="528" spans="2:49" ht="13.5" hidden="1" customHeight="1" thickBot="1" x14ac:dyDescent="0.25">
      <c r="B528" s="74"/>
      <c r="C528" s="74"/>
      <c r="D528" s="89"/>
      <c r="E528" s="105"/>
      <c r="F528" s="105"/>
      <c r="G528" s="105"/>
      <c r="H528" s="105"/>
      <c r="I528" s="105"/>
      <c r="J528" s="106" t="s">
        <v>71</v>
      </c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7"/>
      <c r="AG528" s="84" t="s">
        <v>72</v>
      </c>
      <c r="AH528" s="67"/>
      <c r="AI528" s="67"/>
      <c r="AJ528" s="67"/>
      <c r="AK528" s="67"/>
      <c r="AL528" s="67"/>
      <c r="AM528" s="67"/>
      <c r="AN528" s="67"/>
      <c r="AO528" s="67"/>
      <c r="AP528" s="67"/>
      <c r="AQ528" s="81"/>
      <c r="AU528" s="53"/>
      <c r="AV528" s="53"/>
      <c r="AW528" s="53"/>
    </row>
    <row r="529" spans="2:49" ht="13.5" hidden="1" customHeight="1" thickBot="1" x14ac:dyDescent="0.25">
      <c r="B529" s="74"/>
      <c r="C529" s="74"/>
      <c r="D529" s="108" t="s">
        <v>73</v>
      </c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7"/>
      <c r="S529" s="108" t="s">
        <v>74</v>
      </c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7"/>
      <c r="AG529" s="109" t="s">
        <v>75</v>
      </c>
      <c r="AH529" s="110"/>
      <c r="AI529" s="110"/>
      <c r="AJ529" s="110"/>
      <c r="AK529" s="110"/>
      <c r="AL529" s="87"/>
      <c r="AM529" s="111" t="s">
        <v>76</v>
      </c>
      <c r="AN529" s="110"/>
      <c r="AO529" s="110"/>
      <c r="AP529" s="110"/>
      <c r="AQ529" s="87"/>
      <c r="AU529" s="53"/>
      <c r="AV529" s="53"/>
      <c r="AW529" s="53"/>
    </row>
    <row r="530" spans="2:49" ht="17.25" hidden="1" customHeight="1" thickBot="1" x14ac:dyDescent="0.25">
      <c r="B530" s="72"/>
      <c r="C530" s="72"/>
      <c r="D530" s="108" t="s">
        <v>77</v>
      </c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7"/>
      <c r="S530" s="108" t="s">
        <v>6</v>
      </c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7"/>
      <c r="AG530" s="112" t="s">
        <v>78</v>
      </c>
      <c r="AH530" s="73"/>
      <c r="AI530" s="73"/>
      <c r="AJ530" s="73"/>
      <c r="AK530" s="73"/>
      <c r="AL530" s="87"/>
      <c r="AM530" s="113" t="s">
        <v>79</v>
      </c>
      <c r="AN530" s="73"/>
      <c r="AO530" s="73"/>
      <c r="AP530" s="73"/>
      <c r="AQ530" s="87"/>
      <c r="AU530" s="53"/>
      <c r="AV530" s="53"/>
      <c r="AW530" s="53"/>
    </row>
    <row r="531" spans="2:49" hidden="1" x14ac:dyDescent="0.2">
      <c r="AU531" s="53"/>
      <c r="AV531" s="53"/>
      <c r="AW531" s="53"/>
    </row>
    <row r="532" spans="2:49" ht="15.75" hidden="1" customHeight="1" thickBot="1" x14ac:dyDescent="0.25">
      <c r="AA532" s="67"/>
      <c r="AB532" s="67"/>
      <c r="AC532" s="67"/>
      <c r="AD532" s="67"/>
      <c r="AE532" s="67"/>
      <c r="AF532" s="67"/>
      <c r="AG532" s="67"/>
      <c r="AH532" s="67"/>
      <c r="AU532" s="53"/>
      <c r="AV532" s="53"/>
      <c r="AW532" s="53"/>
    </row>
    <row r="533" spans="2:49" ht="17.25" hidden="1" customHeight="1" x14ac:dyDescent="0.25">
      <c r="B533" s="68"/>
      <c r="C533" s="68"/>
      <c r="D533" s="69" t="s">
        <v>44</v>
      </c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1" t="s">
        <v>89</v>
      </c>
      <c r="Z533" s="70"/>
      <c r="AA533" s="70"/>
      <c r="AB533" s="70"/>
      <c r="AC533" s="70"/>
      <c r="AD533" s="70"/>
      <c r="AE533" s="70"/>
      <c r="AF533" s="70"/>
      <c r="AG533" s="70"/>
      <c r="AH533" s="441" t="s">
        <v>45</v>
      </c>
      <c r="AI533" s="442"/>
      <c r="AJ533" s="442"/>
      <c r="AK533" s="442"/>
      <c r="AL533" s="442"/>
      <c r="AM533" s="443" t="str">
        <f>IF(($AU$9+16)&gt;$AX$9,"",VLOOKUP($AU$9+16,Spielplan,3,0))</f>
        <v/>
      </c>
      <c r="AN533" s="443"/>
      <c r="AO533" s="443"/>
      <c r="AP533" s="443"/>
      <c r="AQ533" s="444"/>
      <c r="AU533" s="53"/>
      <c r="AV533" s="53"/>
      <c r="AW533" s="53"/>
    </row>
    <row r="534" spans="2:49" ht="0.75" hidden="1" customHeight="1" thickBot="1" x14ac:dyDescent="0.25">
      <c r="B534" s="72"/>
      <c r="C534" s="72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4"/>
      <c r="AI534" s="67"/>
      <c r="AJ534" s="67"/>
      <c r="AK534" s="67"/>
      <c r="AL534" s="67"/>
      <c r="AM534" s="75"/>
      <c r="AN534" s="75"/>
      <c r="AO534" s="75"/>
      <c r="AP534" s="75"/>
      <c r="AQ534" s="76"/>
      <c r="AU534" s="53"/>
      <c r="AV534" s="53"/>
      <c r="AW534" s="53"/>
    </row>
    <row r="535" spans="2:49" ht="15" hidden="1" x14ac:dyDescent="0.25">
      <c r="B535" s="68"/>
      <c r="C535" s="77"/>
      <c r="D535" s="68"/>
      <c r="E535" s="78" t="s">
        <v>6</v>
      </c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9"/>
      <c r="S535" s="439" t="s">
        <v>46</v>
      </c>
      <c r="T535" s="440"/>
      <c r="U535" s="440"/>
      <c r="V535" s="440"/>
      <c r="W535" s="440"/>
      <c r="X535" s="440"/>
      <c r="Y535" s="366" t="str">
        <f>IF(($AU$9+16)&gt;$AX$9,"","SHTV")</f>
        <v/>
      </c>
      <c r="Z535" s="366"/>
      <c r="AA535" s="366"/>
      <c r="AB535" s="366"/>
      <c r="AC535" s="366"/>
      <c r="AD535" s="366"/>
      <c r="AE535" s="366"/>
      <c r="AF535" s="366"/>
      <c r="AG535" s="366"/>
      <c r="AH535" s="430" t="s">
        <v>47</v>
      </c>
      <c r="AI535" s="431"/>
      <c r="AJ535" s="431"/>
      <c r="AK535" s="431"/>
      <c r="AL535" s="431"/>
      <c r="AM535" s="434" t="str">
        <f>IF(($AU$9+16)&gt;$AX$9,"",VLOOKUP($AU$9+16,Spielplan,4,0))</f>
        <v/>
      </c>
      <c r="AN535" s="435"/>
      <c r="AO535" s="435"/>
      <c r="AP535" s="435"/>
      <c r="AQ535" s="436"/>
      <c r="AU535" s="53"/>
      <c r="AV535" s="53"/>
      <c r="AW535" s="53"/>
    </row>
    <row r="536" spans="2:49" ht="9.9499999999999993" hidden="1" customHeight="1" x14ac:dyDescent="0.2">
      <c r="B536" s="74"/>
      <c r="C536" s="80"/>
      <c r="D536" s="74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81"/>
      <c r="S536" s="423"/>
      <c r="T536" s="406"/>
      <c r="U536" s="406"/>
      <c r="V536" s="406"/>
      <c r="W536" s="406"/>
      <c r="X536" s="406"/>
      <c r="Y536" s="425"/>
      <c r="Z536" s="425"/>
      <c r="AA536" s="425"/>
      <c r="AB536" s="425"/>
      <c r="AC536" s="425"/>
      <c r="AD536" s="425"/>
      <c r="AE536" s="425"/>
      <c r="AF536" s="425"/>
      <c r="AG536" s="425"/>
      <c r="AH536" s="432"/>
      <c r="AI536" s="433"/>
      <c r="AJ536" s="433"/>
      <c r="AK536" s="433"/>
      <c r="AL536" s="433"/>
      <c r="AM536" s="437"/>
      <c r="AN536" s="437"/>
      <c r="AO536" s="437"/>
      <c r="AP536" s="437"/>
      <c r="AQ536" s="438"/>
      <c r="AU536" s="53"/>
      <c r="AV536" s="53"/>
      <c r="AW536" s="53"/>
    </row>
    <row r="537" spans="2:49" ht="13.15" hidden="1" customHeight="1" x14ac:dyDescent="0.2">
      <c r="B537" s="74"/>
      <c r="C537" s="80"/>
      <c r="D537" s="74"/>
      <c r="E537" s="67" t="s">
        <v>48</v>
      </c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81"/>
      <c r="S537" s="422" t="s">
        <v>49</v>
      </c>
      <c r="T537" s="406"/>
      <c r="U537" s="406"/>
      <c r="V537" s="406"/>
      <c r="W537" s="406"/>
      <c r="X537" s="406"/>
      <c r="Y537" s="425" t="str">
        <f>IF(($AU$9+16)&gt;$AX$9,"",Platzierung!$U$3)</f>
        <v/>
      </c>
      <c r="Z537" s="425"/>
      <c r="AA537" s="425"/>
      <c r="AB537" s="425"/>
      <c r="AC537" s="425"/>
      <c r="AD537" s="425"/>
      <c r="AE537" s="425"/>
      <c r="AF537" s="425"/>
      <c r="AG537" s="425"/>
      <c r="AH537" s="430" t="s">
        <v>50</v>
      </c>
      <c r="AI537" s="431"/>
      <c r="AJ537" s="431"/>
      <c r="AK537" s="431"/>
      <c r="AL537" s="431"/>
      <c r="AM537" s="434" t="str">
        <f>IF(($AU$9+16)&gt;$AX$9,"",VLOOKUP($AU$9+16,Spielplan,6,0))</f>
        <v/>
      </c>
      <c r="AN537" s="435"/>
      <c r="AO537" s="435"/>
      <c r="AP537" s="435"/>
      <c r="AQ537" s="436"/>
      <c r="AU537" s="53"/>
      <c r="AV537" s="53"/>
      <c r="AW537" s="53"/>
    </row>
    <row r="538" spans="2:49" ht="9.9499999999999993" hidden="1" customHeight="1" x14ac:dyDescent="0.2">
      <c r="B538" s="74"/>
      <c r="C538" s="80"/>
      <c r="D538" s="74"/>
      <c r="E538" s="67"/>
      <c r="F538" s="67"/>
      <c r="G538" s="67"/>
      <c r="H538" s="67"/>
      <c r="I538" s="67"/>
      <c r="J538" s="82" t="s">
        <v>51</v>
      </c>
      <c r="K538" s="67"/>
      <c r="L538" s="67"/>
      <c r="M538" s="67"/>
      <c r="N538" s="67"/>
      <c r="O538" s="67"/>
      <c r="P538" s="67"/>
      <c r="Q538" s="67"/>
      <c r="R538" s="81"/>
      <c r="S538" s="423"/>
      <c r="T538" s="406"/>
      <c r="U538" s="406"/>
      <c r="V538" s="406"/>
      <c r="W538" s="406"/>
      <c r="X538" s="406"/>
      <c r="Y538" s="425"/>
      <c r="Z538" s="425"/>
      <c r="AA538" s="425"/>
      <c r="AB538" s="425"/>
      <c r="AC538" s="425"/>
      <c r="AD538" s="425"/>
      <c r="AE538" s="425"/>
      <c r="AF538" s="425"/>
      <c r="AG538" s="425"/>
      <c r="AH538" s="432"/>
      <c r="AI538" s="433"/>
      <c r="AJ538" s="433"/>
      <c r="AK538" s="433"/>
      <c r="AL538" s="433"/>
      <c r="AM538" s="437"/>
      <c r="AN538" s="437"/>
      <c r="AO538" s="437"/>
      <c r="AP538" s="437"/>
      <c r="AQ538" s="438"/>
      <c r="AU538" s="53"/>
      <c r="AV538" s="53"/>
      <c r="AW538" s="53"/>
    </row>
    <row r="539" spans="2:49" ht="15.75" hidden="1" customHeight="1" x14ac:dyDescent="0.2">
      <c r="B539" s="74"/>
      <c r="C539" s="80"/>
      <c r="D539" s="418" t="str">
        <f>IF(($AU$9+16)&gt;$AX$9,"",VLOOKUP($AU$9+16,Spielplan,10,0))</f>
        <v/>
      </c>
      <c r="E539" s="419"/>
      <c r="F539" s="419"/>
      <c r="G539" s="419"/>
      <c r="H539" s="419"/>
      <c r="I539" s="419"/>
      <c r="J539" s="419"/>
      <c r="K539" s="419"/>
      <c r="L539" s="419"/>
      <c r="M539" s="419"/>
      <c r="N539" s="419"/>
      <c r="O539" s="419"/>
      <c r="P539" s="419"/>
      <c r="Q539" s="419"/>
      <c r="R539" s="420"/>
      <c r="S539" s="422" t="s">
        <v>52</v>
      </c>
      <c r="T539" s="406"/>
      <c r="U539" s="406"/>
      <c r="V539" s="406"/>
      <c r="W539" s="406"/>
      <c r="X539" s="406"/>
      <c r="Y539" s="424" t="str">
        <f>IF(($AU$9+16)&gt;$AX$9,"",VLOOKUP($AU$9+16,Spielplan,2,0))</f>
        <v/>
      </c>
      <c r="Z539" s="425"/>
      <c r="AA539" s="425"/>
      <c r="AB539" s="425"/>
      <c r="AC539" s="425"/>
      <c r="AD539" s="425"/>
      <c r="AE539" s="425"/>
      <c r="AF539" s="425"/>
      <c r="AG539" s="425"/>
      <c r="AH539" s="405" t="s">
        <v>53</v>
      </c>
      <c r="AI539" s="406"/>
      <c r="AJ539" s="406"/>
      <c r="AK539" s="406"/>
      <c r="AL539" s="406"/>
      <c r="AM539" s="400" t="str">
        <f>IF(($AU$9+16)&gt;$AX$9,"",VLOOKUP($AU$9+16,Spielplan,5,0))</f>
        <v/>
      </c>
      <c r="AN539" s="401"/>
      <c r="AO539" s="401"/>
      <c r="AP539" s="401"/>
      <c r="AQ539" s="402"/>
      <c r="AU539" s="53"/>
      <c r="AV539" s="53"/>
      <c r="AW539" s="53"/>
    </row>
    <row r="540" spans="2:49" ht="11.1" hidden="1" customHeight="1" thickBot="1" x14ac:dyDescent="0.25">
      <c r="B540" s="74"/>
      <c r="C540" s="80"/>
      <c r="D540" s="421"/>
      <c r="E540" s="419"/>
      <c r="F540" s="419"/>
      <c r="G540" s="419"/>
      <c r="H540" s="419"/>
      <c r="I540" s="419"/>
      <c r="J540" s="419"/>
      <c r="K540" s="419"/>
      <c r="L540" s="419"/>
      <c r="M540" s="419"/>
      <c r="N540" s="419"/>
      <c r="O540" s="419"/>
      <c r="P540" s="419"/>
      <c r="Q540" s="419"/>
      <c r="R540" s="420"/>
      <c r="S540" s="423"/>
      <c r="T540" s="406"/>
      <c r="U540" s="406"/>
      <c r="V540" s="406"/>
      <c r="W540" s="406"/>
      <c r="X540" s="406"/>
      <c r="Y540" s="425"/>
      <c r="Z540" s="425"/>
      <c r="AA540" s="425"/>
      <c r="AB540" s="425"/>
      <c r="AC540" s="425"/>
      <c r="AD540" s="425"/>
      <c r="AE540" s="425"/>
      <c r="AF540" s="425"/>
      <c r="AG540" s="425"/>
      <c r="AH540" s="407"/>
      <c r="AI540" s="408"/>
      <c r="AJ540" s="408"/>
      <c r="AK540" s="408"/>
      <c r="AL540" s="408"/>
      <c r="AM540" s="403"/>
      <c r="AN540" s="403"/>
      <c r="AO540" s="403"/>
      <c r="AP540" s="403"/>
      <c r="AQ540" s="404"/>
      <c r="AU540" s="53"/>
      <c r="AV540" s="53"/>
      <c r="AW540" s="53"/>
    </row>
    <row r="541" spans="2:49" ht="11.1" hidden="1" customHeight="1" thickBot="1" x14ac:dyDescent="0.25">
      <c r="B541" s="74"/>
      <c r="C541" s="80"/>
      <c r="D541" s="72"/>
      <c r="E541" s="73"/>
      <c r="F541" s="73"/>
      <c r="G541" s="73"/>
      <c r="H541" s="73"/>
      <c r="I541" s="73"/>
      <c r="J541" s="73" t="s">
        <v>54</v>
      </c>
      <c r="K541" s="73"/>
      <c r="L541" s="73"/>
      <c r="M541" s="73"/>
      <c r="N541" s="73"/>
      <c r="O541" s="67"/>
      <c r="P541" s="67"/>
      <c r="Q541" s="73"/>
      <c r="R541" s="83"/>
      <c r="S541" s="74"/>
      <c r="T541" s="67"/>
      <c r="U541" s="67"/>
      <c r="V541" s="67"/>
      <c r="W541" s="67"/>
      <c r="X541" s="67"/>
      <c r="Y541" s="409"/>
      <c r="Z541" s="409"/>
      <c r="AA541" s="409"/>
      <c r="AB541" s="409"/>
      <c r="AC541" s="409"/>
      <c r="AD541" s="409"/>
      <c r="AE541" s="409"/>
      <c r="AF541" s="410"/>
      <c r="AG541" s="411"/>
      <c r="AH541" s="84" t="s">
        <v>55</v>
      </c>
      <c r="AI541" s="67"/>
      <c r="AJ541" s="67"/>
      <c r="AK541" s="67"/>
      <c r="AL541" s="67"/>
      <c r="AM541" s="67"/>
      <c r="AN541" s="67"/>
      <c r="AO541" s="85"/>
      <c r="AP541" s="67"/>
      <c r="AQ541" s="81"/>
      <c r="AU541" s="53"/>
      <c r="AV541" s="53"/>
      <c r="AW541" s="53"/>
    </row>
    <row r="542" spans="2:49" ht="13.5" hidden="1" customHeight="1" thickBot="1" x14ac:dyDescent="0.3">
      <c r="B542" s="74"/>
      <c r="C542" s="80"/>
      <c r="D542" s="68"/>
      <c r="E542" s="78" t="s">
        <v>8</v>
      </c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412" t="s">
        <v>56</v>
      </c>
      <c r="R542" s="68"/>
      <c r="S542" s="68"/>
      <c r="T542" s="78" t="s">
        <v>7</v>
      </c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9"/>
      <c r="AF542" s="415" t="s">
        <v>56</v>
      </c>
      <c r="AG542" s="74"/>
      <c r="AH542" s="86" t="s">
        <v>57</v>
      </c>
      <c r="AI542" s="73"/>
      <c r="AJ542" s="73"/>
      <c r="AK542" s="73"/>
      <c r="AL542" s="73"/>
      <c r="AM542" s="73"/>
      <c r="AN542" s="73"/>
      <c r="AO542" s="87"/>
      <c r="AP542" s="67"/>
      <c r="AQ542" s="81"/>
      <c r="AU542" s="53"/>
      <c r="AV542" s="53"/>
      <c r="AW542" s="53"/>
    </row>
    <row r="543" spans="2:49" ht="12" hidden="1" customHeight="1" thickBot="1" x14ac:dyDescent="0.25">
      <c r="B543" s="74"/>
      <c r="C543" s="80"/>
      <c r="D543" s="418" t="str">
        <f>IF(($AU$9+16)&gt;$AX$9,"",VLOOKUP($AU$9+16,Spielplan,7,0))</f>
        <v/>
      </c>
      <c r="E543" s="419"/>
      <c r="F543" s="419"/>
      <c r="G543" s="419"/>
      <c r="H543" s="419"/>
      <c r="I543" s="419"/>
      <c r="J543" s="419"/>
      <c r="K543" s="419"/>
      <c r="L543" s="419"/>
      <c r="M543" s="419"/>
      <c r="N543" s="419"/>
      <c r="O543" s="419"/>
      <c r="P543" s="420"/>
      <c r="Q543" s="413"/>
      <c r="R543" s="74"/>
      <c r="S543" s="418" t="str">
        <f>IF(($AU$9+16)&gt;$AX$9,"",VLOOKUP($AU$9+16,Spielplan,9,0))</f>
        <v/>
      </c>
      <c r="T543" s="419"/>
      <c r="U543" s="419"/>
      <c r="V543" s="419"/>
      <c r="W543" s="419"/>
      <c r="X543" s="419"/>
      <c r="Y543" s="419"/>
      <c r="Z543" s="419"/>
      <c r="AA543" s="419"/>
      <c r="AB543" s="419"/>
      <c r="AC543" s="419"/>
      <c r="AD543" s="419"/>
      <c r="AE543" s="429"/>
      <c r="AF543" s="416"/>
      <c r="AG543" s="74"/>
      <c r="AH543" s="394" t="s">
        <v>58</v>
      </c>
      <c r="AI543" s="395"/>
      <c r="AJ543" s="395"/>
      <c r="AK543" s="395"/>
      <c r="AL543" s="395"/>
      <c r="AM543" s="396"/>
      <c r="AN543" s="88" t="s">
        <v>59</v>
      </c>
      <c r="AO543" s="89"/>
      <c r="AP543" s="89"/>
      <c r="AQ543" s="87"/>
      <c r="AU543" s="53"/>
      <c r="AV543" s="53"/>
      <c r="AW543" s="53"/>
    </row>
    <row r="544" spans="2:49" ht="12" hidden="1" customHeight="1" thickBot="1" x14ac:dyDescent="0.25">
      <c r="B544" s="72"/>
      <c r="C544" s="85"/>
      <c r="D544" s="426"/>
      <c r="E544" s="427"/>
      <c r="F544" s="427"/>
      <c r="G544" s="427"/>
      <c r="H544" s="427"/>
      <c r="I544" s="427"/>
      <c r="J544" s="427"/>
      <c r="K544" s="427"/>
      <c r="L544" s="427"/>
      <c r="M544" s="427"/>
      <c r="N544" s="427"/>
      <c r="O544" s="427"/>
      <c r="P544" s="428"/>
      <c r="Q544" s="414"/>
      <c r="R544" s="72"/>
      <c r="S544" s="426"/>
      <c r="T544" s="427"/>
      <c r="U544" s="427"/>
      <c r="V544" s="427"/>
      <c r="W544" s="427"/>
      <c r="X544" s="427"/>
      <c r="Y544" s="427"/>
      <c r="Z544" s="427"/>
      <c r="AA544" s="427"/>
      <c r="AB544" s="427"/>
      <c r="AC544" s="427"/>
      <c r="AD544" s="427"/>
      <c r="AE544" s="389"/>
      <c r="AF544" s="417"/>
      <c r="AG544" s="72"/>
      <c r="AH544" s="397"/>
      <c r="AI544" s="398"/>
      <c r="AJ544" s="398"/>
      <c r="AK544" s="398"/>
      <c r="AL544" s="398"/>
      <c r="AM544" s="399"/>
      <c r="AN544" s="88" t="s">
        <v>60</v>
      </c>
      <c r="AO544" s="89"/>
      <c r="AP544" s="89"/>
      <c r="AQ544" s="87"/>
      <c r="AU544" s="53"/>
      <c r="AV544" s="53"/>
      <c r="AW544" s="53"/>
    </row>
    <row r="545" spans="2:49" ht="9.9499999999999993" hidden="1" customHeight="1" thickBot="1" x14ac:dyDescent="0.25">
      <c r="B545" s="74"/>
      <c r="C545" s="7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81"/>
      <c r="AU545" s="53"/>
      <c r="AV545" s="53"/>
      <c r="AW545" s="53"/>
    </row>
    <row r="546" spans="2:49" hidden="1" x14ac:dyDescent="0.2">
      <c r="B546" s="68"/>
      <c r="C546" s="77" t="s">
        <v>59</v>
      </c>
      <c r="D546" s="90"/>
      <c r="E546" s="91"/>
      <c r="F546" s="91"/>
      <c r="G546" s="91"/>
      <c r="H546" s="92"/>
      <c r="I546" s="90"/>
      <c r="J546" s="91"/>
      <c r="K546" s="91"/>
      <c r="L546" s="91"/>
      <c r="M546" s="92"/>
      <c r="N546" s="90"/>
      <c r="O546" s="91"/>
      <c r="P546" s="91"/>
      <c r="Q546" s="91"/>
      <c r="R546" s="92"/>
      <c r="S546" s="90"/>
      <c r="T546" s="91"/>
      <c r="U546" s="91"/>
      <c r="V546" s="91"/>
      <c r="W546" s="92"/>
      <c r="X546" s="90"/>
      <c r="Y546" s="91"/>
      <c r="Z546" s="91"/>
      <c r="AA546" s="91"/>
      <c r="AB546" s="92"/>
      <c r="AC546" s="90"/>
      <c r="AD546" s="91"/>
      <c r="AE546" s="91"/>
      <c r="AF546" s="91"/>
      <c r="AG546" s="92"/>
      <c r="AH546" s="90"/>
      <c r="AI546" s="91"/>
      <c r="AJ546" s="91"/>
      <c r="AK546" s="91"/>
      <c r="AL546" s="91"/>
      <c r="AM546" s="206" t="s">
        <v>59</v>
      </c>
      <c r="AN546" s="392"/>
      <c r="AO546" s="392"/>
      <c r="AP546" s="392"/>
      <c r="AQ546" s="393"/>
      <c r="AU546" s="53"/>
      <c r="AV546" s="53"/>
      <c r="AW546" s="53"/>
    </row>
    <row r="547" spans="2:49" ht="13.5" hidden="1" thickBot="1" x14ac:dyDescent="0.25">
      <c r="B547" s="72"/>
      <c r="C547" s="85" t="s">
        <v>60</v>
      </c>
      <c r="D547" s="72"/>
      <c r="E547" s="93"/>
      <c r="F547" s="93"/>
      <c r="G547" s="93"/>
      <c r="H547" s="94"/>
      <c r="I547" s="72"/>
      <c r="J547" s="93"/>
      <c r="K547" s="93"/>
      <c r="L547" s="93"/>
      <c r="M547" s="94"/>
      <c r="N547" s="72"/>
      <c r="O547" s="93"/>
      <c r="P547" s="93"/>
      <c r="Q547" s="93"/>
      <c r="R547" s="94"/>
      <c r="S547" s="72"/>
      <c r="T547" s="93"/>
      <c r="U547" s="93"/>
      <c r="V547" s="93"/>
      <c r="W547" s="94"/>
      <c r="X547" s="72"/>
      <c r="Y547" s="93"/>
      <c r="Z547" s="93"/>
      <c r="AA547" s="93"/>
      <c r="AB547" s="94"/>
      <c r="AC547" s="72"/>
      <c r="AD547" s="93"/>
      <c r="AE547" s="93"/>
      <c r="AF547" s="93"/>
      <c r="AG547" s="94"/>
      <c r="AH547" s="72"/>
      <c r="AI547" s="93"/>
      <c r="AJ547" s="93"/>
      <c r="AK547" s="93"/>
      <c r="AL547" s="93"/>
      <c r="AM547" s="208" t="s">
        <v>60</v>
      </c>
      <c r="AN547" s="326"/>
      <c r="AO547" s="326"/>
      <c r="AP547" s="326"/>
      <c r="AQ547" s="327"/>
      <c r="AU547" s="53"/>
      <c r="AV547" s="53"/>
      <c r="AW547" s="53"/>
    </row>
    <row r="548" spans="2:49" hidden="1" x14ac:dyDescent="0.2">
      <c r="B548" s="68"/>
      <c r="C548" s="77" t="s">
        <v>59</v>
      </c>
      <c r="D548" s="90"/>
      <c r="E548" s="91"/>
      <c r="F548" s="91"/>
      <c r="G548" s="91"/>
      <c r="H548" s="92"/>
      <c r="I548" s="90"/>
      <c r="J548" s="91"/>
      <c r="K548" s="91"/>
      <c r="L548" s="91"/>
      <c r="M548" s="92"/>
      <c r="N548" s="90"/>
      <c r="O548" s="91"/>
      <c r="P548" s="91"/>
      <c r="Q548" s="91"/>
      <c r="R548" s="92"/>
      <c r="S548" s="90"/>
      <c r="T548" s="91"/>
      <c r="U548" s="91"/>
      <c r="V548" s="91"/>
      <c r="W548" s="92"/>
      <c r="X548" s="90"/>
      <c r="Y548" s="91"/>
      <c r="Z548" s="91"/>
      <c r="AA548" s="91"/>
      <c r="AB548" s="92"/>
      <c r="AC548" s="90"/>
      <c r="AD548" s="91"/>
      <c r="AE548" s="91"/>
      <c r="AF548" s="91"/>
      <c r="AG548" s="92"/>
      <c r="AH548" s="90"/>
      <c r="AI548" s="91"/>
      <c r="AJ548" s="91"/>
      <c r="AK548" s="91"/>
      <c r="AL548" s="91"/>
      <c r="AM548" s="206" t="s">
        <v>59</v>
      </c>
      <c r="AN548" s="392"/>
      <c r="AO548" s="392"/>
      <c r="AP548" s="392"/>
      <c r="AQ548" s="393"/>
      <c r="AU548" s="53"/>
      <c r="AV548" s="53"/>
      <c r="AW548" s="53"/>
    </row>
    <row r="549" spans="2:49" ht="13.5" hidden="1" thickBot="1" x14ac:dyDescent="0.25">
      <c r="B549" s="72"/>
      <c r="C549" s="85" t="s">
        <v>60</v>
      </c>
      <c r="D549" s="72"/>
      <c r="E549" s="93"/>
      <c r="F549" s="93"/>
      <c r="G549" s="93"/>
      <c r="H549" s="94"/>
      <c r="I549" s="72"/>
      <c r="J549" s="93"/>
      <c r="K549" s="93"/>
      <c r="L549" s="93"/>
      <c r="M549" s="94"/>
      <c r="N549" s="72"/>
      <c r="O549" s="93"/>
      <c r="P549" s="93"/>
      <c r="Q549" s="93"/>
      <c r="R549" s="94"/>
      <c r="S549" s="72"/>
      <c r="T549" s="93"/>
      <c r="U549" s="93"/>
      <c r="V549" s="93"/>
      <c r="W549" s="94"/>
      <c r="X549" s="72"/>
      <c r="Y549" s="93"/>
      <c r="Z549" s="93"/>
      <c r="AA549" s="93"/>
      <c r="AB549" s="94"/>
      <c r="AC549" s="72"/>
      <c r="AD549" s="93"/>
      <c r="AE549" s="93"/>
      <c r="AF549" s="93"/>
      <c r="AG549" s="94"/>
      <c r="AH549" s="72"/>
      <c r="AI549" s="93"/>
      <c r="AJ549" s="93"/>
      <c r="AK549" s="93"/>
      <c r="AL549" s="93"/>
      <c r="AM549" s="207" t="s">
        <v>60</v>
      </c>
      <c r="AN549" s="347"/>
      <c r="AO549" s="347"/>
      <c r="AP549" s="347"/>
      <c r="AQ549" s="348"/>
      <c r="AU549" s="53"/>
      <c r="AV549" s="53"/>
      <c r="AW549" s="53"/>
    </row>
    <row r="550" spans="2:49" hidden="1" x14ac:dyDescent="0.2">
      <c r="B550" s="68"/>
      <c r="C550" s="77" t="s">
        <v>59</v>
      </c>
      <c r="D550" s="90"/>
      <c r="E550" s="91"/>
      <c r="F550" s="91"/>
      <c r="G550" s="91"/>
      <c r="H550" s="92"/>
      <c r="I550" s="90"/>
      <c r="J550" s="91"/>
      <c r="K550" s="91"/>
      <c r="L550" s="91"/>
      <c r="M550" s="92"/>
      <c r="N550" s="90"/>
      <c r="O550" s="91"/>
      <c r="P550" s="91"/>
      <c r="Q550" s="91"/>
      <c r="R550" s="92"/>
      <c r="S550" s="90"/>
      <c r="T550" s="91"/>
      <c r="U550" s="91"/>
      <c r="V550" s="91"/>
      <c r="W550" s="92"/>
      <c r="X550" s="90"/>
      <c r="Y550" s="91"/>
      <c r="Z550" s="91"/>
      <c r="AA550" s="91"/>
      <c r="AB550" s="92"/>
      <c r="AC550" s="90"/>
      <c r="AD550" s="91"/>
      <c r="AE550" s="91"/>
      <c r="AF550" s="91"/>
      <c r="AG550" s="92"/>
      <c r="AH550" s="90"/>
      <c r="AI550" s="91"/>
      <c r="AJ550" s="91"/>
      <c r="AK550" s="91"/>
      <c r="AL550" s="91"/>
      <c r="AM550" s="206" t="s">
        <v>59</v>
      </c>
      <c r="AN550" s="392"/>
      <c r="AO550" s="392"/>
      <c r="AP550" s="392"/>
      <c r="AQ550" s="393"/>
      <c r="AU550" s="53"/>
      <c r="AV550" s="53"/>
      <c r="AW550" s="53"/>
    </row>
    <row r="551" spans="2:49" ht="13.5" hidden="1" thickBot="1" x14ac:dyDescent="0.25">
      <c r="B551" s="72"/>
      <c r="C551" s="85" t="s">
        <v>60</v>
      </c>
      <c r="D551" s="72"/>
      <c r="E551" s="93"/>
      <c r="F551" s="93"/>
      <c r="G551" s="93"/>
      <c r="H551" s="94"/>
      <c r="I551" s="72"/>
      <c r="J551" s="93"/>
      <c r="K551" s="93"/>
      <c r="L551" s="93"/>
      <c r="M551" s="94"/>
      <c r="N551" s="72"/>
      <c r="O551" s="93"/>
      <c r="P551" s="93"/>
      <c r="Q551" s="93"/>
      <c r="R551" s="94"/>
      <c r="S551" s="72"/>
      <c r="T551" s="93"/>
      <c r="U551" s="93"/>
      <c r="V551" s="93"/>
      <c r="W551" s="94"/>
      <c r="X551" s="72"/>
      <c r="Y551" s="93"/>
      <c r="Z551" s="93"/>
      <c r="AA551" s="93"/>
      <c r="AB551" s="94"/>
      <c r="AC551" s="72"/>
      <c r="AD551" s="93"/>
      <c r="AE551" s="93"/>
      <c r="AF551" s="93"/>
      <c r="AG551" s="94"/>
      <c r="AH551" s="72"/>
      <c r="AI551" s="93"/>
      <c r="AJ551" s="93"/>
      <c r="AK551" s="93"/>
      <c r="AL551" s="93"/>
      <c r="AM551" s="207" t="s">
        <v>60</v>
      </c>
      <c r="AN551" s="347"/>
      <c r="AO551" s="347"/>
      <c r="AP551" s="347"/>
      <c r="AQ551" s="348"/>
      <c r="AU551" s="53"/>
      <c r="AV551" s="53"/>
      <c r="AW551" s="53"/>
    </row>
    <row r="552" spans="2:49" ht="9.9499999999999993" hidden="1" customHeight="1" x14ac:dyDescent="0.2">
      <c r="B552" s="74"/>
      <c r="C552" s="74"/>
      <c r="D552" s="378" t="s">
        <v>61</v>
      </c>
      <c r="E552" s="379"/>
      <c r="F552" s="380"/>
      <c r="G552" s="384" t="s">
        <v>62</v>
      </c>
      <c r="H552" s="385"/>
      <c r="I552" s="385"/>
      <c r="J552" s="385"/>
      <c r="K552" s="385"/>
      <c r="L552" s="385"/>
      <c r="M552" s="385"/>
      <c r="N552" s="385"/>
      <c r="O552" s="386"/>
      <c r="P552" s="390" t="s">
        <v>56</v>
      </c>
      <c r="Q552" s="390" t="s">
        <v>63</v>
      </c>
      <c r="R552" s="67"/>
      <c r="S552" s="378" t="s">
        <v>61</v>
      </c>
      <c r="T552" s="379"/>
      <c r="U552" s="380"/>
      <c r="V552" s="384" t="s">
        <v>62</v>
      </c>
      <c r="W552" s="385"/>
      <c r="X552" s="385"/>
      <c r="Y552" s="385"/>
      <c r="Z552" s="385"/>
      <c r="AA552" s="385"/>
      <c r="AB552" s="385"/>
      <c r="AC552" s="385"/>
      <c r="AD552" s="386"/>
      <c r="AE552" s="390" t="s">
        <v>56</v>
      </c>
      <c r="AF552" s="390" t="s">
        <v>63</v>
      </c>
      <c r="AG552" s="95"/>
      <c r="AH552" s="96"/>
      <c r="AI552" s="96"/>
      <c r="AJ552" s="96"/>
      <c r="AK552" s="96"/>
      <c r="AL552" s="96"/>
      <c r="AM552" s="114"/>
      <c r="AN552" s="377" t="s">
        <v>1</v>
      </c>
      <c r="AO552" s="377"/>
      <c r="AP552" s="377" t="s">
        <v>2</v>
      </c>
      <c r="AQ552" s="377"/>
      <c r="AR552" s="97"/>
      <c r="AU552" s="53"/>
      <c r="AV552" s="53"/>
      <c r="AW552" s="53"/>
    </row>
    <row r="553" spans="2:49" ht="13.5" hidden="1" thickBot="1" x14ac:dyDescent="0.25">
      <c r="B553" s="74"/>
      <c r="C553" s="74"/>
      <c r="D553" s="381"/>
      <c r="E553" s="382"/>
      <c r="F553" s="383"/>
      <c r="G553" s="387"/>
      <c r="H553" s="388"/>
      <c r="I553" s="388"/>
      <c r="J553" s="388"/>
      <c r="K553" s="388"/>
      <c r="L553" s="388"/>
      <c r="M553" s="388"/>
      <c r="N553" s="388"/>
      <c r="O553" s="389"/>
      <c r="P553" s="391"/>
      <c r="Q553" s="391"/>
      <c r="R553" s="67"/>
      <c r="S553" s="381"/>
      <c r="T553" s="382"/>
      <c r="U553" s="383"/>
      <c r="V553" s="387"/>
      <c r="W553" s="388"/>
      <c r="X553" s="388"/>
      <c r="Y553" s="388"/>
      <c r="Z553" s="388"/>
      <c r="AA553" s="388"/>
      <c r="AB553" s="388"/>
      <c r="AC553" s="388"/>
      <c r="AD553" s="389"/>
      <c r="AE553" s="391"/>
      <c r="AF553" s="391"/>
      <c r="AG553" s="98"/>
      <c r="AH553" s="67"/>
      <c r="AI553" s="99" t="s">
        <v>64</v>
      </c>
      <c r="AJ553" s="99"/>
      <c r="AK553" s="99"/>
      <c r="AL553" s="99"/>
      <c r="AM553" s="99"/>
      <c r="AN553" s="99"/>
      <c r="AO553" s="100"/>
      <c r="AP553" s="100"/>
      <c r="AQ553" s="101"/>
      <c r="AR553" s="97"/>
      <c r="AU553" s="53"/>
      <c r="AV553" s="53"/>
      <c r="AW553" s="53"/>
    </row>
    <row r="554" spans="2:49" ht="13.5" hidden="1" customHeight="1" x14ac:dyDescent="0.2">
      <c r="B554" s="74"/>
      <c r="C554" s="74"/>
      <c r="D554" s="216"/>
      <c r="E554" s="209"/>
      <c r="F554" s="210"/>
      <c r="G554" s="211" t="s">
        <v>65</v>
      </c>
      <c r="H554" s="212"/>
      <c r="I554" s="212"/>
      <c r="J554" s="212"/>
      <c r="K554" s="212"/>
      <c r="L554" s="212"/>
      <c r="M554" s="212"/>
      <c r="N554" s="212"/>
      <c r="O554" s="213"/>
      <c r="P554" s="214"/>
      <c r="Q554" s="214"/>
      <c r="R554" s="215"/>
      <c r="S554" s="216"/>
      <c r="T554" s="209"/>
      <c r="U554" s="210"/>
      <c r="V554" s="211" t="s">
        <v>65</v>
      </c>
      <c r="W554" s="212"/>
      <c r="X554" s="212"/>
      <c r="Y554" s="212"/>
      <c r="Z554" s="212"/>
      <c r="AA554" s="212"/>
      <c r="AB554" s="212"/>
      <c r="AC554" s="212"/>
      <c r="AD554" s="213"/>
      <c r="AE554" s="214"/>
      <c r="AF554" s="214"/>
      <c r="AG554" s="365" t="s">
        <v>83</v>
      </c>
      <c r="AH554" s="366"/>
      <c r="AI554" s="366"/>
      <c r="AJ554" s="367"/>
      <c r="AK554" s="371" t="s">
        <v>66</v>
      </c>
      <c r="AL554" s="372"/>
      <c r="AM554" s="372"/>
      <c r="AN554" s="372"/>
      <c r="AO554" s="372"/>
      <c r="AP554" s="372"/>
      <c r="AQ554" s="373"/>
      <c r="AU554" s="53"/>
      <c r="AV554" s="53"/>
      <c r="AW554" s="53"/>
    </row>
    <row r="555" spans="2:49" ht="13.5" hidden="1" customHeight="1" thickBot="1" x14ac:dyDescent="0.25">
      <c r="B555" s="74"/>
      <c r="C555" s="74"/>
      <c r="D555" s="216"/>
      <c r="E555" s="209"/>
      <c r="F555" s="210"/>
      <c r="G555" s="217">
        <v>2</v>
      </c>
      <c r="H555" s="209"/>
      <c r="I555" s="209"/>
      <c r="J555" s="209"/>
      <c r="K555" s="209"/>
      <c r="L555" s="209"/>
      <c r="M555" s="209"/>
      <c r="N555" s="209"/>
      <c r="O555" s="210"/>
      <c r="P555" s="214"/>
      <c r="Q555" s="214"/>
      <c r="R555" s="215"/>
      <c r="S555" s="216"/>
      <c r="T555" s="209"/>
      <c r="U555" s="210"/>
      <c r="V555" s="217">
        <v>2</v>
      </c>
      <c r="W555" s="209"/>
      <c r="X555" s="209"/>
      <c r="Y555" s="209"/>
      <c r="Z555" s="209"/>
      <c r="AA555" s="209"/>
      <c r="AB555" s="209"/>
      <c r="AC555" s="209"/>
      <c r="AD555" s="210"/>
      <c r="AE555" s="214"/>
      <c r="AF555" s="214"/>
      <c r="AG555" s="368"/>
      <c r="AH555" s="369"/>
      <c r="AI555" s="369"/>
      <c r="AJ555" s="370"/>
      <c r="AK555" s="374"/>
      <c r="AL555" s="375"/>
      <c r="AM555" s="375"/>
      <c r="AN555" s="375"/>
      <c r="AO555" s="375"/>
      <c r="AP555" s="375"/>
      <c r="AQ555" s="376"/>
      <c r="AU555" s="53"/>
      <c r="AV555" s="53"/>
      <c r="AW555" s="53"/>
    </row>
    <row r="556" spans="2:49" ht="13.5" hidden="1" customHeight="1" x14ac:dyDescent="0.2">
      <c r="B556" s="74"/>
      <c r="C556" s="74"/>
      <c r="D556" s="216"/>
      <c r="E556" s="209"/>
      <c r="F556" s="210"/>
      <c r="G556" s="217">
        <v>3</v>
      </c>
      <c r="H556" s="209"/>
      <c r="I556" s="209"/>
      <c r="J556" s="209"/>
      <c r="K556" s="209"/>
      <c r="L556" s="209"/>
      <c r="M556" s="209"/>
      <c r="N556" s="209"/>
      <c r="O556" s="210"/>
      <c r="P556" s="214"/>
      <c r="Q556" s="214"/>
      <c r="R556" s="215"/>
      <c r="S556" s="216"/>
      <c r="T556" s="209"/>
      <c r="U556" s="210"/>
      <c r="V556" s="217">
        <v>3</v>
      </c>
      <c r="W556" s="209"/>
      <c r="X556" s="209"/>
      <c r="Y556" s="209"/>
      <c r="Z556" s="209"/>
      <c r="AA556" s="209"/>
      <c r="AB556" s="209"/>
      <c r="AC556" s="209"/>
      <c r="AD556" s="210"/>
      <c r="AE556" s="214"/>
      <c r="AF556" s="214"/>
      <c r="AG556" s="365" t="s">
        <v>2</v>
      </c>
      <c r="AH556" s="366"/>
      <c r="AI556" s="366"/>
      <c r="AJ556" s="367"/>
      <c r="AK556" s="371" t="s">
        <v>66</v>
      </c>
      <c r="AL556" s="372"/>
      <c r="AM556" s="372"/>
      <c r="AN556" s="372"/>
      <c r="AO556" s="372"/>
      <c r="AP556" s="372"/>
      <c r="AQ556" s="373"/>
      <c r="AU556" s="53"/>
      <c r="AV556" s="53"/>
      <c r="AW556" s="53"/>
    </row>
    <row r="557" spans="2:49" ht="13.5" hidden="1" customHeight="1" thickBot="1" x14ac:dyDescent="0.25">
      <c r="B557" s="74"/>
      <c r="C557" s="74"/>
      <c r="D557" s="216"/>
      <c r="E557" s="209"/>
      <c r="F557" s="210"/>
      <c r="G557" s="217">
        <v>4</v>
      </c>
      <c r="H557" s="209"/>
      <c r="I557" s="209"/>
      <c r="J557" s="209"/>
      <c r="K557" s="209"/>
      <c r="L557" s="209"/>
      <c r="M557" s="209"/>
      <c r="N557" s="209"/>
      <c r="O557" s="210"/>
      <c r="P557" s="214"/>
      <c r="Q557" s="214"/>
      <c r="R557" s="215"/>
      <c r="S557" s="216"/>
      <c r="T557" s="209"/>
      <c r="U557" s="210"/>
      <c r="V557" s="217">
        <v>4</v>
      </c>
      <c r="W557" s="209"/>
      <c r="X557" s="209"/>
      <c r="Y557" s="209"/>
      <c r="Z557" s="209"/>
      <c r="AA557" s="209"/>
      <c r="AB557" s="209"/>
      <c r="AC557" s="209"/>
      <c r="AD557" s="210"/>
      <c r="AE557" s="214"/>
      <c r="AF557" s="214"/>
      <c r="AG557" s="368"/>
      <c r="AH557" s="369"/>
      <c r="AI557" s="369"/>
      <c r="AJ557" s="370"/>
      <c r="AK557" s="374"/>
      <c r="AL557" s="375"/>
      <c r="AM557" s="375"/>
      <c r="AN557" s="375"/>
      <c r="AO557" s="375"/>
      <c r="AP557" s="375"/>
      <c r="AQ557" s="376"/>
      <c r="AU557" s="53"/>
      <c r="AV557" s="53"/>
      <c r="AW557" s="53"/>
    </row>
    <row r="558" spans="2:49" ht="13.5" hidden="1" customHeight="1" x14ac:dyDescent="0.2">
      <c r="B558" s="74"/>
      <c r="C558" s="74"/>
      <c r="D558" s="216"/>
      <c r="E558" s="209"/>
      <c r="F558" s="210"/>
      <c r="G558" s="217">
        <v>5</v>
      </c>
      <c r="H558" s="209"/>
      <c r="I558" s="209"/>
      <c r="J558" s="209"/>
      <c r="K558" s="209"/>
      <c r="L558" s="209"/>
      <c r="M558" s="209"/>
      <c r="N558" s="209"/>
      <c r="O558" s="210"/>
      <c r="P558" s="214"/>
      <c r="Q558" s="214"/>
      <c r="R558" s="215"/>
      <c r="S558" s="216"/>
      <c r="T558" s="209"/>
      <c r="U558" s="210"/>
      <c r="V558" s="217">
        <v>5</v>
      </c>
      <c r="W558" s="209"/>
      <c r="X558" s="209"/>
      <c r="Y558" s="209"/>
      <c r="Z558" s="209"/>
      <c r="AA558" s="209"/>
      <c r="AB558" s="209"/>
      <c r="AC558" s="209"/>
      <c r="AD558" s="210"/>
      <c r="AE558" s="214"/>
      <c r="AF558" s="214"/>
      <c r="AG558" s="102" t="s">
        <v>67</v>
      </c>
      <c r="AH558" s="70"/>
      <c r="AI558" s="70"/>
      <c r="AJ558" s="70"/>
      <c r="AK558" s="70"/>
      <c r="AL558" s="70"/>
      <c r="AM558" s="70"/>
      <c r="AN558" s="70"/>
      <c r="AO558" s="70" t="s">
        <v>68</v>
      </c>
      <c r="AP558" s="70"/>
      <c r="AQ558" s="79"/>
      <c r="AU558" s="53"/>
      <c r="AV558" s="53"/>
      <c r="AW558" s="53"/>
    </row>
    <row r="559" spans="2:49" ht="13.5" hidden="1" customHeight="1" x14ac:dyDescent="0.2">
      <c r="B559" s="74"/>
      <c r="C559" s="74"/>
      <c r="D559" s="216"/>
      <c r="E559" s="209"/>
      <c r="F559" s="210"/>
      <c r="G559" s="217">
        <v>6</v>
      </c>
      <c r="H559" s="209"/>
      <c r="I559" s="209"/>
      <c r="J559" s="209"/>
      <c r="K559" s="209"/>
      <c r="L559" s="209"/>
      <c r="M559" s="209"/>
      <c r="N559" s="209"/>
      <c r="O559" s="210"/>
      <c r="P559" s="214"/>
      <c r="Q559" s="214"/>
      <c r="R559" s="215"/>
      <c r="S559" s="216"/>
      <c r="T559" s="209"/>
      <c r="U559" s="210"/>
      <c r="V559" s="217">
        <v>6</v>
      </c>
      <c r="W559" s="209"/>
      <c r="X559" s="209"/>
      <c r="Y559" s="209"/>
      <c r="Z559" s="209"/>
      <c r="AA559" s="209"/>
      <c r="AB559" s="209"/>
      <c r="AC559" s="209"/>
      <c r="AD559" s="210"/>
      <c r="AE559" s="214"/>
      <c r="AF559" s="214"/>
      <c r="AG559" s="103"/>
      <c r="AH559" s="67"/>
      <c r="AI559" s="67"/>
      <c r="AJ559" s="67"/>
      <c r="AK559" s="67"/>
      <c r="AL559" s="67"/>
      <c r="AM559" s="67"/>
      <c r="AN559" s="67"/>
      <c r="AO559" s="67"/>
      <c r="AP559" s="67"/>
      <c r="AQ559" s="81"/>
      <c r="AU559" s="53"/>
      <c r="AV559" s="53"/>
      <c r="AW559" s="53"/>
    </row>
    <row r="560" spans="2:49" ht="13.5" hidden="1" customHeight="1" thickBot="1" x14ac:dyDescent="0.25">
      <c r="B560" s="74"/>
      <c r="C560" s="74"/>
      <c r="D560" s="216"/>
      <c r="E560" s="209"/>
      <c r="F560" s="210"/>
      <c r="G560" s="217">
        <v>7</v>
      </c>
      <c r="H560" s="209"/>
      <c r="I560" s="209"/>
      <c r="J560" s="209"/>
      <c r="K560" s="209"/>
      <c r="L560" s="209"/>
      <c r="M560" s="209"/>
      <c r="N560" s="209"/>
      <c r="O560" s="210"/>
      <c r="P560" s="214"/>
      <c r="Q560" s="214"/>
      <c r="R560" s="215"/>
      <c r="S560" s="216"/>
      <c r="T560" s="209"/>
      <c r="U560" s="210"/>
      <c r="V560" s="217">
        <v>7</v>
      </c>
      <c r="W560" s="209"/>
      <c r="X560" s="209"/>
      <c r="Y560" s="209"/>
      <c r="Z560" s="209"/>
      <c r="AA560" s="209"/>
      <c r="AB560" s="209"/>
      <c r="AC560" s="209"/>
      <c r="AD560" s="210"/>
      <c r="AE560" s="214"/>
      <c r="AF560" s="214"/>
      <c r="AG560" s="74" t="s">
        <v>69</v>
      </c>
      <c r="AH560" s="67"/>
      <c r="AI560" s="67"/>
      <c r="AJ560" s="67"/>
      <c r="AK560" s="67"/>
      <c r="AL560" s="67"/>
      <c r="AM560" s="67"/>
      <c r="AN560" s="67"/>
      <c r="AO560" s="67"/>
      <c r="AP560" s="67"/>
      <c r="AQ560" s="81"/>
      <c r="AU560" s="53"/>
      <c r="AV560" s="53"/>
      <c r="AW560" s="53"/>
    </row>
    <row r="561" spans="2:49" ht="13.5" hidden="1" customHeight="1" thickBot="1" x14ac:dyDescent="0.25">
      <c r="B561" s="74"/>
      <c r="C561" s="74"/>
      <c r="D561" s="222"/>
      <c r="E561" s="218"/>
      <c r="F561" s="219"/>
      <c r="G561" s="220">
        <v>8</v>
      </c>
      <c r="H561" s="218"/>
      <c r="I561" s="218"/>
      <c r="J561" s="218"/>
      <c r="K561" s="218"/>
      <c r="L561" s="218"/>
      <c r="M561" s="218"/>
      <c r="N561" s="218"/>
      <c r="O561" s="219"/>
      <c r="P561" s="221"/>
      <c r="Q561" s="221"/>
      <c r="R561" s="215"/>
      <c r="S561" s="222"/>
      <c r="T561" s="218"/>
      <c r="U561" s="219"/>
      <c r="V561" s="220">
        <v>8</v>
      </c>
      <c r="W561" s="218"/>
      <c r="X561" s="218"/>
      <c r="Y561" s="218"/>
      <c r="Z561" s="218"/>
      <c r="AA561" s="218"/>
      <c r="AB561" s="218"/>
      <c r="AC561" s="218"/>
      <c r="AD561" s="219"/>
      <c r="AE561" s="221"/>
      <c r="AF561" s="221"/>
      <c r="AG561" s="104" t="s">
        <v>70</v>
      </c>
      <c r="AH561" s="70"/>
      <c r="AI561" s="70"/>
      <c r="AJ561" s="70"/>
      <c r="AK561" s="70"/>
      <c r="AL561" s="70"/>
      <c r="AM561" s="70"/>
      <c r="AN561" s="70"/>
      <c r="AO561" s="70"/>
      <c r="AP561" s="70"/>
      <c r="AQ561" s="79"/>
      <c r="AU561" s="53"/>
      <c r="AV561" s="53"/>
      <c r="AW561" s="53"/>
    </row>
    <row r="562" spans="2:49" ht="13.5" hidden="1" customHeight="1" thickBot="1" x14ac:dyDescent="0.25">
      <c r="B562" s="74"/>
      <c r="C562" s="74"/>
      <c r="D562" s="89"/>
      <c r="E562" s="105"/>
      <c r="F562" s="105"/>
      <c r="G562" s="105"/>
      <c r="H562" s="105"/>
      <c r="I562" s="105"/>
      <c r="J562" s="106" t="s">
        <v>71</v>
      </c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7"/>
      <c r="AG562" s="84" t="s">
        <v>72</v>
      </c>
      <c r="AH562" s="67"/>
      <c r="AI562" s="67"/>
      <c r="AJ562" s="67"/>
      <c r="AK562" s="67"/>
      <c r="AL562" s="67"/>
      <c r="AM562" s="67"/>
      <c r="AN562" s="67"/>
      <c r="AO562" s="67"/>
      <c r="AP562" s="67"/>
      <c r="AQ562" s="81"/>
      <c r="AU562" s="53"/>
      <c r="AV562" s="53"/>
      <c r="AW562" s="53"/>
    </row>
    <row r="563" spans="2:49" ht="13.5" hidden="1" customHeight="1" thickBot="1" x14ac:dyDescent="0.25">
      <c r="B563" s="74"/>
      <c r="C563" s="74"/>
      <c r="D563" s="108" t="s">
        <v>73</v>
      </c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7"/>
      <c r="S563" s="108" t="s">
        <v>74</v>
      </c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7"/>
      <c r="AG563" s="109" t="s">
        <v>75</v>
      </c>
      <c r="AH563" s="110"/>
      <c r="AI563" s="110"/>
      <c r="AJ563" s="110"/>
      <c r="AK563" s="110"/>
      <c r="AL563" s="87"/>
      <c r="AM563" s="111" t="s">
        <v>76</v>
      </c>
      <c r="AN563" s="110"/>
      <c r="AO563" s="110"/>
      <c r="AP563" s="110"/>
      <c r="AQ563" s="87"/>
      <c r="AU563" s="53"/>
      <c r="AV563" s="53"/>
      <c r="AW563" s="53"/>
    </row>
    <row r="564" spans="2:49" ht="17.25" hidden="1" customHeight="1" thickBot="1" x14ac:dyDescent="0.25">
      <c r="B564" s="72"/>
      <c r="C564" s="72"/>
      <c r="D564" s="108" t="s">
        <v>77</v>
      </c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7"/>
      <c r="S564" s="108" t="s">
        <v>6</v>
      </c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7"/>
      <c r="AG564" s="112" t="s">
        <v>78</v>
      </c>
      <c r="AH564" s="73"/>
      <c r="AI564" s="73"/>
      <c r="AJ564" s="73"/>
      <c r="AK564" s="73"/>
      <c r="AL564" s="87"/>
      <c r="AM564" s="113" t="s">
        <v>79</v>
      </c>
      <c r="AN564" s="73"/>
      <c r="AO564" s="73"/>
      <c r="AP564" s="73"/>
      <c r="AQ564" s="87"/>
      <c r="AU564" s="53"/>
      <c r="AV564" s="53"/>
      <c r="AW564" s="53"/>
    </row>
    <row r="565" spans="2:49" ht="17.25" hidden="1" customHeight="1" x14ac:dyDescent="0.2">
      <c r="B565" s="67"/>
      <c r="C565" s="67"/>
      <c r="D565" s="114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114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115"/>
      <c r="AH565" s="67"/>
      <c r="AI565" s="67"/>
      <c r="AJ565" s="67"/>
      <c r="AK565" s="67"/>
      <c r="AL565" s="67"/>
      <c r="AM565" s="116"/>
      <c r="AN565" s="67"/>
      <c r="AO565" s="67"/>
      <c r="AP565" s="67"/>
      <c r="AQ565" s="67"/>
      <c r="AU565" s="53"/>
      <c r="AV565" s="53"/>
      <c r="AW565" s="53"/>
    </row>
    <row r="566" spans="2:49" ht="15.95" hidden="1" customHeight="1" thickBot="1" x14ac:dyDescent="0.25">
      <c r="AU566" s="53"/>
      <c r="AV566" s="53"/>
      <c r="AW566" s="53"/>
    </row>
    <row r="567" spans="2:49" ht="17.25" hidden="1" customHeight="1" x14ac:dyDescent="0.25">
      <c r="B567" s="68"/>
      <c r="C567" s="68"/>
      <c r="D567" s="69" t="s">
        <v>44</v>
      </c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1" t="s">
        <v>89</v>
      </c>
      <c r="Z567" s="70"/>
      <c r="AA567" s="70"/>
      <c r="AB567" s="70"/>
      <c r="AC567" s="70"/>
      <c r="AD567" s="70"/>
      <c r="AE567" s="70"/>
      <c r="AF567" s="70"/>
      <c r="AG567" s="70"/>
      <c r="AH567" s="441" t="s">
        <v>45</v>
      </c>
      <c r="AI567" s="442"/>
      <c r="AJ567" s="442"/>
      <c r="AK567" s="442"/>
      <c r="AL567" s="442"/>
      <c r="AM567" s="443" t="str">
        <f>IF(($AU$9+17)&gt;$AX$9,"",VLOOKUP($AU$9+17,Spielplan,3,0))</f>
        <v/>
      </c>
      <c r="AN567" s="443"/>
      <c r="AO567" s="443"/>
      <c r="AP567" s="443"/>
      <c r="AQ567" s="444"/>
      <c r="AU567" s="53"/>
      <c r="AV567" s="53"/>
      <c r="AW567" s="53"/>
    </row>
    <row r="568" spans="2:49" ht="0.75" hidden="1" customHeight="1" thickBot="1" x14ac:dyDescent="0.25">
      <c r="B568" s="72"/>
      <c r="C568" s="72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4"/>
      <c r="AI568" s="67"/>
      <c r="AJ568" s="67"/>
      <c r="AK568" s="67"/>
      <c r="AL568" s="67"/>
      <c r="AM568" s="75"/>
      <c r="AN568" s="75"/>
      <c r="AO568" s="75"/>
      <c r="AP568" s="75"/>
      <c r="AQ568" s="76"/>
      <c r="AU568" s="53"/>
      <c r="AV568" s="53"/>
      <c r="AW568" s="53"/>
    </row>
    <row r="569" spans="2:49" ht="15" hidden="1" x14ac:dyDescent="0.25">
      <c r="B569" s="68"/>
      <c r="C569" s="77"/>
      <c r="D569" s="68"/>
      <c r="E569" s="78" t="s">
        <v>6</v>
      </c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9"/>
      <c r="S569" s="439" t="s">
        <v>46</v>
      </c>
      <c r="T569" s="440"/>
      <c r="U569" s="440"/>
      <c r="V569" s="440"/>
      <c r="W569" s="440"/>
      <c r="X569" s="440"/>
      <c r="Y569" s="366" t="str">
        <f>IF(($AU$9+17)&gt;$AX$9,"","SHTV")</f>
        <v/>
      </c>
      <c r="Z569" s="366"/>
      <c r="AA569" s="366"/>
      <c r="AB569" s="366"/>
      <c r="AC569" s="366"/>
      <c r="AD569" s="366"/>
      <c r="AE569" s="366"/>
      <c r="AF569" s="366"/>
      <c r="AG569" s="366"/>
      <c r="AH569" s="430" t="s">
        <v>47</v>
      </c>
      <c r="AI569" s="431"/>
      <c r="AJ569" s="431"/>
      <c r="AK569" s="431"/>
      <c r="AL569" s="431"/>
      <c r="AM569" s="434" t="str">
        <f>IF(($AU$9+17)&gt;$AX$9,"",VLOOKUP($AU$9+17,Spielplan,4,0))</f>
        <v/>
      </c>
      <c r="AN569" s="435"/>
      <c r="AO569" s="435"/>
      <c r="AP569" s="435"/>
      <c r="AQ569" s="436"/>
      <c r="AU569" s="53"/>
      <c r="AV569" s="53"/>
      <c r="AW569" s="53"/>
    </row>
    <row r="570" spans="2:49" ht="9.9499999999999993" hidden="1" customHeight="1" x14ac:dyDescent="0.2">
      <c r="B570" s="74"/>
      <c r="C570" s="80"/>
      <c r="D570" s="74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81"/>
      <c r="S570" s="423"/>
      <c r="T570" s="406"/>
      <c r="U570" s="406"/>
      <c r="V570" s="406"/>
      <c r="W570" s="406"/>
      <c r="X570" s="406"/>
      <c r="Y570" s="425"/>
      <c r="Z570" s="425"/>
      <c r="AA570" s="425"/>
      <c r="AB570" s="425"/>
      <c r="AC570" s="425"/>
      <c r="AD570" s="425"/>
      <c r="AE570" s="425"/>
      <c r="AF570" s="425"/>
      <c r="AG570" s="425"/>
      <c r="AH570" s="432"/>
      <c r="AI570" s="433"/>
      <c r="AJ570" s="433"/>
      <c r="AK570" s="433"/>
      <c r="AL570" s="433"/>
      <c r="AM570" s="437"/>
      <c r="AN570" s="437"/>
      <c r="AO570" s="437"/>
      <c r="AP570" s="437"/>
      <c r="AQ570" s="438"/>
      <c r="AU570" s="53"/>
      <c r="AV570" s="53"/>
      <c r="AW570" s="53"/>
    </row>
    <row r="571" spans="2:49" ht="13.15" hidden="1" customHeight="1" x14ac:dyDescent="0.2">
      <c r="B571" s="74"/>
      <c r="C571" s="80"/>
      <c r="D571" s="74"/>
      <c r="E571" s="67" t="s">
        <v>48</v>
      </c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81"/>
      <c r="S571" s="422" t="s">
        <v>49</v>
      </c>
      <c r="T571" s="406"/>
      <c r="U571" s="406"/>
      <c r="V571" s="406"/>
      <c r="W571" s="406"/>
      <c r="X571" s="406"/>
      <c r="Y571" s="425" t="str">
        <f>IF(($AU$9+17)&gt;$AX$9,"",Platzierung!$U$3)</f>
        <v/>
      </c>
      <c r="Z571" s="425"/>
      <c r="AA571" s="425"/>
      <c r="AB571" s="425"/>
      <c r="AC571" s="425"/>
      <c r="AD571" s="425"/>
      <c r="AE571" s="425"/>
      <c r="AF571" s="425"/>
      <c r="AG571" s="425"/>
      <c r="AH571" s="430" t="s">
        <v>50</v>
      </c>
      <c r="AI571" s="431"/>
      <c r="AJ571" s="431"/>
      <c r="AK571" s="431"/>
      <c r="AL571" s="431"/>
      <c r="AM571" s="434" t="str">
        <f>IF(($AU$9+17)&gt;$AX$9,"",VLOOKUP($AU$9+17,Spielplan,6,0))</f>
        <v/>
      </c>
      <c r="AN571" s="435"/>
      <c r="AO571" s="435"/>
      <c r="AP571" s="435"/>
      <c r="AQ571" s="436"/>
      <c r="AU571" s="53"/>
      <c r="AV571" s="53"/>
      <c r="AW571" s="53"/>
    </row>
    <row r="572" spans="2:49" ht="9.9499999999999993" hidden="1" customHeight="1" x14ac:dyDescent="0.2">
      <c r="B572" s="74"/>
      <c r="C572" s="80"/>
      <c r="D572" s="74"/>
      <c r="E572" s="67"/>
      <c r="F572" s="67"/>
      <c r="G572" s="67"/>
      <c r="H572" s="67"/>
      <c r="I572" s="67"/>
      <c r="J572" s="82" t="s">
        <v>51</v>
      </c>
      <c r="K572" s="67"/>
      <c r="L572" s="67"/>
      <c r="M572" s="67"/>
      <c r="N572" s="67"/>
      <c r="O572" s="67"/>
      <c r="P572" s="67"/>
      <c r="Q572" s="67"/>
      <c r="R572" s="81"/>
      <c r="S572" s="423"/>
      <c r="T572" s="406"/>
      <c r="U572" s="406"/>
      <c r="V572" s="406"/>
      <c r="W572" s="406"/>
      <c r="X572" s="406"/>
      <c r="Y572" s="425"/>
      <c r="Z572" s="425"/>
      <c r="AA572" s="425"/>
      <c r="AB572" s="425"/>
      <c r="AC572" s="425"/>
      <c r="AD572" s="425"/>
      <c r="AE572" s="425"/>
      <c r="AF572" s="425"/>
      <c r="AG572" s="425"/>
      <c r="AH572" s="432"/>
      <c r="AI572" s="433"/>
      <c r="AJ572" s="433"/>
      <c r="AK572" s="433"/>
      <c r="AL572" s="433"/>
      <c r="AM572" s="437"/>
      <c r="AN572" s="437"/>
      <c r="AO572" s="437"/>
      <c r="AP572" s="437"/>
      <c r="AQ572" s="438"/>
      <c r="AU572" s="53"/>
      <c r="AV572" s="53"/>
      <c r="AW572" s="53"/>
    </row>
    <row r="573" spans="2:49" ht="15.75" hidden="1" customHeight="1" x14ac:dyDescent="0.2">
      <c r="B573" s="74"/>
      <c r="C573" s="80"/>
      <c r="D573" s="418" t="str">
        <f>IF(($AU$9+17)&gt;$AX$9,"",VLOOKUP($AU$9+17,Spielplan,10,0))</f>
        <v/>
      </c>
      <c r="E573" s="419"/>
      <c r="F573" s="419"/>
      <c r="G573" s="419"/>
      <c r="H573" s="419"/>
      <c r="I573" s="419"/>
      <c r="J573" s="419"/>
      <c r="K573" s="419"/>
      <c r="L573" s="419"/>
      <c r="M573" s="419"/>
      <c r="N573" s="419"/>
      <c r="O573" s="419"/>
      <c r="P573" s="419"/>
      <c r="Q573" s="419"/>
      <c r="R573" s="420"/>
      <c r="S573" s="422" t="s">
        <v>52</v>
      </c>
      <c r="T573" s="406"/>
      <c r="U573" s="406"/>
      <c r="V573" s="406"/>
      <c r="W573" s="406"/>
      <c r="X573" s="406"/>
      <c r="Y573" s="424" t="str">
        <f>IF(($AU$9+17)&gt;$AX$9,"",VLOOKUP($AU$9+17,Spielplan,2,0))</f>
        <v/>
      </c>
      <c r="Z573" s="425"/>
      <c r="AA573" s="425"/>
      <c r="AB573" s="425"/>
      <c r="AC573" s="425"/>
      <c r="AD573" s="425"/>
      <c r="AE573" s="425"/>
      <c r="AF573" s="425"/>
      <c r="AG573" s="425"/>
      <c r="AH573" s="405" t="s">
        <v>53</v>
      </c>
      <c r="AI573" s="406"/>
      <c r="AJ573" s="406"/>
      <c r="AK573" s="406"/>
      <c r="AL573" s="406"/>
      <c r="AM573" s="400" t="str">
        <f>IF(($AU$9+17)&gt;$AX$9,"",VLOOKUP($AU$9+17,Spielplan,5,0))</f>
        <v/>
      </c>
      <c r="AN573" s="401"/>
      <c r="AO573" s="401"/>
      <c r="AP573" s="401"/>
      <c r="AQ573" s="402"/>
      <c r="AU573" s="53"/>
      <c r="AV573" s="53"/>
      <c r="AW573" s="53"/>
    </row>
    <row r="574" spans="2:49" ht="11.1" hidden="1" customHeight="1" thickBot="1" x14ac:dyDescent="0.25">
      <c r="B574" s="74"/>
      <c r="C574" s="80"/>
      <c r="D574" s="421"/>
      <c r="E574" s="419"/>
      <c r="F574" s="419"/>
      <c r="G574" s="419"/>
      <c r="H574" s="419"/>
      <c r="I574" s="419"/>
      <c r="J574" s="419"/>
      <c r="K574" s="419"/>
      <c r="L574" s="419"/>
      <c r="M574" s="419"/>
      <c r="N574" s="419"/>
      <c r="O574" s="419"/>
      <c r="P574" s="419"/>
      <c r="Q574" s="419"/>
      <c r="R574" s="420"/>
      <c r="S574" s="423"/>
      <c r="T574" s="406"/>
      <c r="U574" s="406"/>
      <c r="V574" s="406"/>
      <c r="W574" s="406"/>
      <c r="X574" s="406"/>
      <c r="Y574" s="425"/>
      <c r="Z574" s="425"/>
      <c r="AA574" s="425"/>
      <c r="AB574" s="425"/>
      <c r="AC574" s="425"/>
      <c r="AD574" s="425"/>
      <c r="AE574" s="425"/>
      <c r="AF574" s="425"/>
      <c r="AG574" s="425"/>
      <c r="AH574" s="407"/>
      <c r="AI574" s="408"/>
      <c r="AJ574" s="408"/>
      <c r="AK574" s="408"/>
      <c r="AL574" s="408"/>
      <c r="AM574" s="403"/>
      <c r="AN574" s="403"/>
      <c r="AO574" s="403"/>
      <c r="AP574" s="403"/>
      <c r="AQ574" s="404"/>
      <c r="AU574" s="53"/>
      <c r="AV574" s="53"/>
      <c r="AW574" s="53"/>
    </row>
    <row r="575" spans="2:49" ht="11.1" hidden="1" customHeight="1" thickBot="1" x14ac:dyDescent="0.25">
      <c r="B575" s="74"/>
      <c r="C575" s="80"/>
      <c r="D575" s="72"/>
      <c r="E575" s="73"/>
      <c r="F575" s="73"/>
      <c r="G575" s="73"/>
      <c r="H575" s="73"/>
      <c r="I575" s="73"/>
      <c r="J575" s="73" t="s">
        <v>54</v>
      </c>
      <c r="K575" s="73"/>
      <c r="L575" s="73"/>
      <c r="M575" s="73"/>
      <c r="N575" s="73"/>
      <c r="O575" s="67"/>
      <c r="P575" s="67"/>
      <c r="Q575" s="73"/>
      <c r="R575" s="83"/>
      <c r="S575" s="74"/>
      <c r="T575" s="67"/>
      <c r="U575" s="67"/>
      <c r="V575" s="67"/>
      <c r="W575" s="67"/>
      <c r="X575" s="67"/>
      <c r="Y575" s="409"/>
      <c r="Z575" s="409"/>
      <c r="AA575" s="409"/>
      <c r="AB575" s="409"/>
      <c r="AC575" s="409"/>
      <c r="AD575" s="409"/>
      <c r="AE575" s="409"/>
      <c r="AF575" s="410"/>
      <c r="AG575" s="411"/>
      <c r="AH575" s="84" t="s">
        <v>55</v>
      </c>
      <c r="AI575" s="67"/>
      <c r="AJ575" s="67"/>
      <c r="AK575" s="67"/>
      <c r="AL575" s="67"/>
      <c r="AM575" s="67"/>
      <c r="AN575" s="67"/>
      <c r="AO575" s="85"/>
      <c r="AP575" s="67"/>
      <c r="AQ575" s="81"/>
      <c r="AU575" s="53"/>
      <c r="AV575" s="53"/>
      <c r="AW575" s="53"/>
    </row>
    <row r="576" spans="2:49" ht="13.5" hidden="1" customHeight="1" thickBot="1" x14ac:dyDescent="0.3">
      <c r="B576" s="74"/>
      <c r="C576" s="80"/>
      <c r="D576" s="68"/>
      <c r="E576" s="78" t="s">
        <v>8</v>
      </c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412" t="s">
        <v>56</v>
      </c>
      <c r="R576" s="68"/>
      <c r="S576" s="68"/>
      <c r="T576" s="78" t="s">
        <v>7</v>
      </c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9"/>
      <c r="AF576" s="415" t="s">
        <v>56</v>
      </c>
      <c r="AG576" s="74"/>
      <c r="AH576" s="86" t="s">
        <v>57</v>
      </c>
      <c r="AI576" s="73"/>
      <c r="AJ576" s="73"/>
      <c r="AK576" s="73"/>
      <c r="AL576" s="73"/>
      <c r="AM576" s="73"/>
      <c r="AN576" s="73"/>
      <c r="AO576" s="87"/>
      <c r="AP576" s="67"/>
      <c r="AQ576" s="81"/>
      <c r="AU576" s="53"/>
      <c r="AV576" s="53"/>
      <c r="AW576" s="53"/>
    </row>
    <row r="577" spans="2:49" ht="12" hidden="1" customHeight="1" thickBot="1" x14ac:dyDescent="0.25">
      <c r="B577" s="74"/>
      <c r="C577" s="80"/>
      <c r="D577" s="418" t="str">
        <f>IF(($AU$9+17)&gt;$AX$9,"",VLOOKUP($AU$9+17,Spielplan,7,0))</f>
        <v/>
      </c>
      <c r="E577" s="419"/>
      <c r="F577" s="419"/>
      <c r="G577" s="419"/>
      <c r="H577" s="419"/>
      <c r="I577" s="419"/>
      <c r="J577" s="419"/>
      <c r="K577" s="419"/>
      <c r="L577" s="419"/>
      <c r="M577" s="419"/>
      <c r="N577" s="419"/>
      <c r="O577" s="419"/>
      <c r="P577" s="420"/>
      <c r="Q577" s="413"/>
      <c r="R577" s="74"/>
      <c r="S577" s="418" t="str">
        <f>IF(($AU$9+17)&gt;$AX$9,"",VLOOKUP($AU$9+17,Spielplan,9,0))</f>
        <v/>
      </c>
      <c r="T577" s="419"/>
      <c r="U577" s="419"/>
      <c r="V577" s="419"/>
      <c r="W577" s="419"/>
      <c r="X577" s="419"/>
      <c r="Y577" s="419"/>
      <c r="Z577" s="419"/>
      <c r="AA577" s="419"/>
      <c r="AB577" s="419"/>
      <c r="AC577" s="419"/>
      <c r="AD577" s="419"/>
      <c r="AE577" s="429"/>
      <c r="AF577" s="416"/>
      <c r="AG577" s="74"/>
      <c r="AH577" s="394" t="s">
        <v>58</v>
      </c>
      <c r="AI577" s="395"/>
      <c r="AJ577" s="395"/>
      <c r="AK577" s="395"/>
      <c r="AL577" s="395"/>
      <c r="AM577" s="396"/>
      <c r="AN577" s="88" t="s">
        <v>59</v>
      </c>
      <c r="AO577" s="89"/>
      <c r="AP577" s="89"/>
      <c r="AQ577" s="87"/>
      <c r="AU577" s="53"/>
      <c r="AV577" s="53"/>
      <c r="AW577" s="53"/>
    </row>
    <row r="578" spans="2:49" ht="12" hidden="1" customHeight="1" thickBot="1" x14ac:dyDescent="0.25">
      <c r="B578" s="72"/>
      <c r="C578" s="85"/>
      <c r="D578" s="426"/>
      <c r="E578" s="427"/>
      <c r="F578" s="427"/>
      <c r="G578" s="427"/>
      <c r="H578" s="427"/>
      <c r="I578" s="427"/>
      <c r="J578" s="427"/>
      <c r="K578" s="427"/>
      <c r="L578" s="427"/>
      <c r="M578" s="427"/>
      <c r="N578" s="427"/>
      <c r="O578" s="427"/>
      <c r="P578" s="428"/>
      <c r="Q578" s="414"/>
      <c r="R578" s="72"/>
      <c r="S578" s="426"/>
      <c r="T578" s="427"/>
      <c r="U578" s="427"/>
      <c r="V578" s="427"/>
      <c r="W578" s="427"/>
      <c r="X578" s="427"/>
      <c r="Y578" s="427"/>
      <c r="Z578" s="427"/>
      <c r="AA578" s="427"/>
      <c r="AB578" s="427"/>
      <c r="AC578" s="427"/>
      <c r="AD578" s="427"/>
      <c r="AE578" s="389"/>
      <c r="AF578" s="417"/>
      <c r="AG578" s="72"/>
      <c r="AH578" s="397"/>
      <c r="AI578" s="398"/>
      <c r="AJ578" s="398"/>
      <c r="AK578" s="398"/>
      <c r="AL578" s="398"/>
      <c r="AM578" s="399"/>
      <c r="AN578" s="88" t="s">
        <v>60</v>
      </c>
      <c r="AO578" s="89"/>
      <c r="AP578" s="89"/>
      <c r="AQ578" s="87"/>
      <c r="AU578" s="53"/>
      <c r="AV578" s="53"/>
      <c r="AW578" s="53"/>
    </row>
    <row r="579" spans="2:49" ht="9.9499999999999993" hidden="1" customHeight="1" thickBot="1" x14ac:dyDescent="0.25">
      <c r="B579" s="74"/>
      <c r="C579" s="7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81"/>
      <c r="AU579" s="53"/>
      <c r="AV579" s="53"/>
      <c r="AW579" s="53"/>
    </row>
    <row r="580" spans="2:49" hidden="1" x14ac:dyDescent="0.2">
      <c r="B580" s="68"/>
      <c r="C580" s="77" t="s">
        <v>59</v>
      </c>
      <c r="D580" s="90"/>
      <c r="E580" s="91"/>
      <c r="F580" s="91"/>
      <c r="G580" s="91"/>
      <c r="H580" s="92"/>
      <c r="I580" s="90"/>
      <c r="J580" s="91"/>
      <c r="K580" s="91"/>
      <c r="L580" s="91"/>
      <c r="M580" s="92"/>
      <c r="N580" s="90"/>
      <c r="O580" s="91"/>
      <c r="P580" s="91"/>
      <c r="Q580" s="91"/>
      <c r="R580" s="92"/>
      <c r="S580" s="90"/>
      <c r="T580" s="91"/>
      <c r="U580" s="91"/>
      <c r="V580" s="91"/>
      <c r="W580" s="92"/>
      <c r="X580" s="90"/>
      <c r="Y580" s="91"/>
      <c r="Z580" s="91"/>
      <c r="AA580" s="91"/>
      <c r="AB580" s="92"/>
      <c r="AC580" s="90"/>
      <c r="AD580" s="91"/>
      <c r="AE580" s="91"/>
      <c r="AF580" s="91"/>
      <c r="AG580" s="92"/>
      <c r="AH580" s="90"/>
      <c r="AI580" s="91"/>
      <c r="AJ580" s="91"/>
      <c r="AK580" s="91"/>
      <c r="AL580" s="91"/>
      <c r="AM580" s="206" t="s">
        <v>59</v>
      </c>
      <c r="AN580" s="392"/>
      <c r="AO580" s="392"/>
      <c r="AP580" s="392"/>
      <c r="AQ580" s="393"/>
      <c r="AU580" s="53"/>
      <c r="AV580" s="53"/>
      <c r="AW580" s="53"/>
    </row>
    <row r="581" spans="2:49" ht="13.5" hidden="1" thickBot="1" x14ac:dyDescent="0.25">
      <c r="B581" s="72"/>
      <c r="C581" s="85" t="s">
        <v>60</v>
      </c>
      <c r="D581" s="72"/>
      <c r="E581" s="93"/>
      <c r="F581" s="93"/>
      <c r="G581" s="93"/>
      <c r="H581" s="94"/>
      <c r="I581" s="72"/>
      <c r="J581" s="93"/>
      <c r="K581" s="93"/>
      <c r="L581" s="93"/>
      <c r="M581" s="94"/>
      <c r="N581" s="72"/>
      <c r="O581" s="93"/>
      <c r="P581" s="93"/>
      <c r="Q581" s="93"/>
      <c r="R581" s="94"/>
      <c r="S581" s="72"/>
      <c r="T581" s="93"/>
      <c r="U581" s="93"/>
      <c r="V581" s="93"/>
      <c r="W581" s="94"/>
      <c r="X581" s="72"/>
      <c r="Y581" s="93"/>
      <c r="Z581" s="93"/>
      <c r="AA581" s="93"/>
      <c r="AB581" s="94"/>
      <c r="AC581" s="72"/>
      <c r="AD581" s="93"/>
      <c r="AE581" s="93"/>
      <c r="AF581" s="93"/>
      <c r="AG581" s="94"/>
      <c r="AH581" s="72"/>
      <c r="AI581" s="93"/>
      <c r="AJ581" s="93"/>
      <c r="AK581" s="93"/>
      <c r="AL581" s="93"/>
      <c r="AM581" s="208" t="s">
        <v>60</v>
      </c>
      <c r="AN581" s="326"/>
      <c r="AO581" s="326"/>
      <c r="AP581" s="326"/>
      <c r="AQ581" s="327"/>
      <c r="AU581" s="53"/>
      <c r="AV581" s="53"/>
      <c r="AW581" s="53"/>
    </row>
    <row r="582" spans="2:49" hidden="1" x14ac:dyDescent="0.2">
      <c r="B582" s="68"/>
      <c r="C582" s="77" t="s">
        <v>59</v>
      </c>
      <c r="D582" s="90"/>
      <c r="E582" s="91"/>
      <c r="F582" s="91"/>
      <c r="G582" s="91"/>
      <c r="H582" s="92"/>
      <c r="I582" s="90"/>
      <c r="J582" s="91"/>
      <c r="K582" s="91"/>
      <c r="L582" s="91"/>
      <c r="M582" s="92"/>
      <c r="N582" s="90"/>
      <c r="O582" s="91"/>
      <c r="P582" s="91"/>
      <c r="Q582" s="91"/>
      <c r="R582" s="92"/>
      <c r="S582" s="90"/>
      <c r="T582" s="91"/>
      <c r="U582" s="91"/>
      <c r="V582" s="91"/>
      <c r="W582" s="92"/>
      <c r="X582" s="90"/>
      <c r="Y582" s="91"/>
      <c r="Z582" s="91"/>
      <c r="AA582" s="91"/>
      <c r="AB582" s="92"/>
      <c r="AC582" s="90"/>
      <c r="AD582" s="91"/>
      <c r="AE582" s="91"/>
      <c r="AF582" s="91"/>
      <c r="AG582" s="92"/>
      <c r="AH582" s="90"/>
      <c r="AI582" s="91"/>
      <c r="AJ582" s="91"/>
      <c r="AK582" s="91"/>
      <c r="AL582" s="91"/>
      <c r="AM582" s="206" t="s">
        <v>59</v>
      </c>
      <c r="AN582" s="392"/>
      <c r="AO582" s="392"/>
      <c r="AP582" s="392"/>
      <c r="AQ582" s="393"/>
      <c r="AU582" s="53"/>
      <c r="AV582" s="53"/>
      <c r="AW582" s="53"/>
    </row>
    <row r="583" spans="2:49" ht="13.5" hidden="1" thickBot="1" x14ac:dyDescent="0.25">
      <c r="B583" s="72"/>
      <c r="C583" s="85" t="s">
        <v>60</v>
      </c>
      <c r="D583" s="72"/>
      <c r="E583" s="93"/>
      <c r="F583" s="93"/>
      <c r="G583" s="93"/>
      <c r="H583" s="94"/>
      <c r="I583" s="72"/>
      <c r="J583" s="93"/>
      <c r="K583" s="93"/>
      <c r="L583" s="93"/>
      <c r="M583" s="94"/>
      <c r="N583" s="72"/>
      <c r="O583" s="93"/>
      <c r="P583" s="93"/>
      <c r="Q583" s="93"/>
      <c r="R583" s="94"/>
      <c r="S583" s="72"/>
      <c r="T583" s="93"/>
      <c r="U583" s="93"/>
      <c r="V583" s="93"/>
      <c r="W583" s="94"/>
      <c r="X583" s="72"/>
      <c r="Y583" s="93"/>
      <c r="Z583" s="93"/>
      <c r="AA583" s="93"/>
      <c r="AB583" s="94"/>
      <c r="AC583" s="72"/>
      <c r="AD583" s="93"/>
      <c r="AE583" s="93"/>
      <c r="AF583" s="93"/>
      <c r="AG583" s="94"/>
      <c r="AH583" s="72"/>
      <c r="AI583" s="93"/>
      <c r="AJ583" s="93"/>
      <c r="AK583" s="93"/>
      <c r="AL583" s="93"/>
      <c r="AM583" s="207" t="s">
        <v>60</v>
      </c>
      <c r="AN583" s="347"/>
      <c r="AO583" s="347"/>
      <c r="AP583" s="347"/>
      <c r="AQ583" s="348"/>
      <c r="AU583" s="53"/>
      <c r="AV583" s="53"/>
      <c r="AW583" s="53"/>
    </row>
    <row r="584" spans="2:49" hidden="1" x14ac:dyDescent="0.2">
      <c r="B584" s="68"/>
      <c r="C584" s="77" t="s">
        <v>59</v>
      </c>
      <c r="D584" s="90"/>
      <c r="E584" s="91"/>
      <c r="F584" s="91"/>
      <c r="G584" s="91"/>
      <c r="H584" s="92"/>
      <c r="I584" s="90"/>
      <c r="J584" s="91"/>
      <c r="K584" s="91"/>
      <c r="L584" s="91"/>
      <c r="M584" s="92"/>
      <c r="N584" s="90"/>
      <c r="O584" s="91"/>
      <c r="P584" s="91"/>
      <c r="Q584" s="91"/>
      <c r="R584" s="92"/>
      <c r="S584" s="90"/>
      <c r="T584" s="91"/>
      <c r="U584" s="91"/>
      <c r="V584" s="91"/>
      <c r="W584" s="92"/>
      <c r="X584" s="90"/>
      <c r="Y584" s="91"/>
      <c r="Z584" s="91"/>
      <c r="AA584" s="91"/>
      <c r="AB584" s="92"/>
      <c r="AC584" s="90"/>
      <c r="AD584" s="91"/>
      <c r="AE584" s="91"/>
      <c r="AF584" s="91"/>
      <c r="AG584" s="92"/>
      <c r="AH584" s="90"/>
      <c r="AI584" s="91"/>
      <c r="AJ584" s="91"/>
      <c r="AK584" s="91"/>
      <c r="AL584" s="91"/>
      <c r="AM584" s="206" t="s">
        <v>59</v>
      </c>
      <c r="AN584" s="392"/>
      <c r="AO584" s="392"/>
      <c r="AP584" s="392"/>
      <c r="AQ584" s="393"/>
      <c r="AU584" s="53"/>
      <c r="AV584" s="53"/>
      <c r="AW584" s="53"/>
    </row>
    <row r="585" spans="2:49" ht="13.5" hidden="1" thickBot="1" x14ac:dyDescent="0.25">
      <c r="B585" s="72"/>
      <c r="C585" s="85" t="s">
        <v>60</v>
      </c>
      <c r="D585" s="72"/>
      <c r="E585" s="93"/>
      <c r="F585" s="93"/>
      <c r="G585" s="93"/>
      <c r="H585" s="94"/>
      <c r="I585" s="72"/>
      <c r="J585" s="93"/>
      <c r="K585" s="93"/>
      <c r="L585" s="93"/>
      <c r="M585" s="94"/>
      <c r="N585" s="72"/>
      <c r="O585" s="93"/>
      <c r="P585" s="93"/>
      <c r="Q585" s="93"/>
      <c r="R585" s="94"/>
      <c r="S585" s="72"/>
      <c r="T585" s="93"/>
      <c r="U585" s="93"/>
      <c r="V585" s="93"/>
      <c r="W585" s="94"/>
      <c r="X585" s="72"/>
      <c r="Y585" s="93"/>
      <c r="Z585" s="93"/>
      <c r="AA585" s="93"/>
      <c r="AB585" s="94"/>
      <c r="AC585" s="72"/>
      <c r="AD585" s="93"/>
      <c r="AE585" s="93"/>
      <c r="AF585" s="93"/>
      <c r="AG585" s="94"/>
      <c r="AH585" s="72"/>
      <c r="AI585" s="93"/>
      <c r="AJ585" s="93"/>
      <c r="AK585" s="93"/>
      <c r="AL585" s="93"/>
      <c r="AM585" s="207" t="s">
        <v>60</v>
      </c>
      <c r="AN585" s="347"/>
      <c r="AO585" s="347"/>
      <c r="AP585" s="347"/>
      <c r="AQ585" s="348"/>
      <c r="AU585" s="53"/>
      <c r="AV585" s="53"/>
      <c r="AW585" s="53"/>
    </row>
    <row r="586" spans="2:49" ht="9.9499999999999993" hidden="1" customHeight="1" x14ac:dyDescent="0.2">
      <c r="B586" s="74"/>
      <c r="C586" s="74"/>
      <c r="D586" s="378" t="s">
        <v>61</v>
      </c>
      <c r="E586" s="379"/>
      <c r="F586" s="380"/>
      <c r="G586" s="384" t="s">
        <v>62</v>
      </c>
      <c r="H586" s="385"/>
      <c r="I586" s="385"/>
      <c r="J586" s="385"/>
      <c r="K586" s="385"/>
      <c r="L586" s="385"/>
      <c r="M586" s="385"/>
      <c r="N586" s="385"/>
      <c r="O586" s="386"/>
      <c r="P586" s="390" t="s">
        <v>56</v>
      </c>
      <c r="Q586" s="390" t="s">
        <v>63</v>
      </c>
      <c r="R586" s="67"/>
      <c r="S586" s="378" t="s">
        <v>61</v>
      </c>
      <c r="T586" s="379"/>
      <c r="U586" s="380"/>
      <c r="V586" s="384" t="s">
        <v>62</v>
      </c>
      <c r="W586" s="385"/>
      <c r="X586" s="385"/>
      <c r="Y586" s="385"/>
      <c r="Z586" s="385"/>
      <c r="AA586" s="385"/>
      <c r="AB586" s="385"/>
      <c r="AC586" s="385"/>
      <c r="AD586" s="386"/>
      <c r="AE586" s="390" t="s">
        <v>56</v>
      </c>
      <c r="AF586" s="390" t="s">
        <v>63</v>
      </c>
      <c r="AG586" s="95"/>
      <c r="AH586" s="96"/>
      <c r="AI586" s="96"/>
      <c r="AJ586" s="96"/>
      <c r="AK586" s="96"/>
      <c r="AL586" s="96"/>
      <c r="AM586" s="114"/>
      <c r="AN586" s="377" t="s">
        <v>1</v>
      </c>
      <c r="AO586" s="377"/>
      <c r="AP586" s="377" t="s">
        <v>2</v>
      </c>
      <c r="AQ586" s="377"/>
      <c r="AR586" s="97"/>
      <c r="AU586" s="53"/>
      <c r="AV586" s="53"/>
      <c r="AW586" s="53"/>
    </row>
    <row r="587" spans="2:49" ht="13.5" hidden="1" thickBot="1" x14ac:dyDescent="0.25">
      <c r="B587" s="74"/>
      <c r="C587" s="74"/>
      <c r="D587" s="381"/>
      <c r="E587" s="382"/>
      <c r="F587" s="383"/>
      <c r="G587" s="387"/>
      <c r="H587" s="388"/>
      <c r="I587" s="388"/>
      <c r="J587" s="388"/>
      <c r="K587" s="388"/>
      <c r="L587" s="388"/>
      <c r="M587" s="388"/>
      <c r="N587" s="388"/>
      <c r="O587" s="389"/>
      <c r="P587" s="391"/>
      <c r="Q587" s="391"/>
      <c r="R587" s="67"/>
      <c r="S587" s="381"/>
      <c r="T587" s="382"/>
      <c r="U587" s="383"/>
      <c r="V587" s="387"/>
      <c r="W587" s="388"/>
      <c r="X587" s="388"/>
      <c r="Y587" s="388"/>
      <c r="Z587" s="388"/>
      <c r="AA587" s="388"/>
      <c r="AB587" s="388"/>
      <c r="AC587" s="388"/>
      <c r="AD587" s="389"/>
      <c r="AE587" s="391"/>
      <c r="AF587" s="391"/>
      <c r="AG587" s="98"/>
      <c r="AH587" s="67"/>
      <c r="AI587" s="99" t="s">
        <v>64</v>
      </c>
      <c r="AJ587" s="99"/>
      <c r="AK587" s="99"/>
      <c r="AL587" s="99"/>
      <c r="AM587" s="99"/>
      <c r="AN587" s="99"/>
      <c r="AO587" s="100"/>
      <c r="AP587" s="100"/>
      <c r="AQ587" s="101"/>
      <c r="AR587" s="97"/>
      <c r="AU587" s="53"/>
      <c r="AV587" s="53"/>
      <c r="AW587" s="53"/>
    </row>
    <row r="588" spans="2:49" ht="13.5" hidden="1" customHeight="1" x14ac:dyDescent="0.2">
      <c r="B588" s="74"/>
      <c r="C588" s="74"/>
      <c r="D588" s="216"/>
      <c r="E588" s="209"/>
      <c r="F588" s="210"/>
      <c r="G588" s="211" t="s">
        <v>65</v>
      </c>
      <c r="H588" s="212"/>
      <c r="I588" s="212"/>
      <c r="J588" s="212"/>
      <c r="K588" s="212"/>
      <c r="L588" s="212"/>
      <c r="M588" s="212"/>
      <c r="N588" s="212"/>
      <c r="O588" s="213"/>
      <c r="P588" s="214"/>
      <c r="Q588" s="214"/>
      <c r="R588" s="215"/>
      <c r="S588" s="216"/>
      <c r="T588" s="209"/>
      <c r="U588" s="210"/>
      <c r="V588" s="211" t="s">
        <v>65</v>
      </c>
      <c r="W588" s="212"/>
      <c r="X588" s="212"/>
      <c r="Y588" s="212"/>
      <c r="Z588" s="212"/>
      <c r="AA588" s="212"/>
      <c r="AB588" s="212"/>
      <c r="AC588" s="212"/>
      <c r="AD588" s="213"/>
      <c r="AE588" s="214"/>
      <c r="AF588" s="214"/>
      <c r="AG588" s="365" t="s">
        <v>83</v>
      </c>
      <c r="AH588" s="366"/>
      <c r="AI588" s="366"/>
      <c r="AJ588" s="367"/>
      <c r="AK588" s="371" t="s">
        <v>66</v>
      </c>
      <c r="AL588" s="372"/>
      <c r="AM588" s="372"/>
      <c r="AN588" s="372"/>
      <c r="AO588" s="372"/>
      <c r="AP588" s="372"/>
      <c r="AQ588" s="373"/>
      <c r="AU588" s="53"/>
      <c r="AV588" s="53"/>
      <c r="AW588" s="53"/>
    </row>
    <row r="589" spans="2:49" ht="13.5" hidden="1" customHeight="1" thickBot="1" x14ac:dyDescent="0.25">
      <c r="B589" s="74"/>
      <c r="C589" s="74"/>
      <c r="D589" s="216"/>
      <c r="E589" s="209"/>
      <c r="F589" s="210"/>
      <c r="G589" s="217">
        <v>2</v>
      </c>
      <c r="H589" s="209"/>
      <c r="I589" s="209"/>
      <c r="J589" s="209"/>
      <c r="K589" s="209"/>
      <c r="L589" s="209"/>
      <c r="M589" s="209"/>
      <c r="N589" s="209"/>
      <c r="O589" s="210"/>
      <c r="P589" s="214"/>
      <c r="Q589" s="214"/>
      <c r="R589" s="215"/>
      <c r="S589" s="216"/>
      <c r="T589" s="209"/>
      <c r="U589" s="210"/>
      <c r="V589" s="217">
        <v>2</v>
      </c>
      <c r="W589" s="209"/>
      <c r="X589" s="209"/>
      <c r="Y589" s="209"/>
      <c r="Z589" s="209"/>
      <c r="AA589" s="209"/>
      <c r="AB589" s="209"/>
      <c r="AC589" s="209"/>
      <c r="AD589" s="210"/>
      <c r="AE589" s="214"/>
      <c r="AF589" s="214"/>
      <c r="AG589" s="368"/>
      <c r="AH589" s="369"/>
      <c r="AI589" s="369"/>
      <c r="AJ589" s="370"/>
      <c r="AK589" s="374"/>
      <c r="AL589" s="375"/>
      <c r="AM589" s="375"/>
      <c r="AN589" s="375"/>
      <c r="AO589" s="375"/>
      <c r="AP589" s="375"/>
      <c r="AQ589" s="376"/>
      <c r="AU589" s="53"/>
      <c r="AV589" s="53"/>
      <c r="AW589" s="53"/>
    </row>
    <row r="590" spans="2:49" ht="13.5" hidden="1" customHeight="1" x14ac:dyDescent="0.2">
      <c r="B590" s="74"/>
      <c r="C590" s="74"/>
      <c r="D590" s="216"/>
      <c r="E590" s="209"/>
      <c r="F590" s="210"/>
      <c r="G590" s="217">
        <v>3</v>
      </c>
      <c r="H590" s="209"/>
      <c r="I590" s="209"/>
      <c r="J590" s="209"/>
      <c r="K590" s="209"/>
      <c r="L590" s="209"/>
      <c r="M590" s="209"/>
      <c r="N590" s="209"/>
      <c r="O590" s="210"/>
      <c r="P590" s="214"/>
      <c r="Q590" s="214"/>
      <c r="R590" s="215"/>
      <c r="S590" s="216"/>
      <c r="T590" s="209"/>
      <c r="U590" s="210"/>
      <c r="V590" s="217">
        <v>3</v>
      </c>
      <c r="W590" s="209"/>
      <c r="X590" s="209"/>
      <c r="Y590" s="209"/>
      <c r="Z590" s="209"/>
      <c r="AA590" s="209"/>
      <c r="AB590" s="209"/>
      <c r="AC590" s="209"/>
      <c r="AD590" s="210"/>
      <c r="AE590" s="214"/>
      <c r="AF590" s="214"/>
      <c r="AG590" s="365" t="s">
        <v>2</v>
      </c>
      <c r="AH590" s="366"/>
      <c r="AI590" s="366"/>
      <c r="AJ590" s="367"/>
      <c r="AK590" s="371" t="s">
        <v>66</v>
      </c>
      <c r="AL590" s="372"/>
      <c r="AM590" s="372"/>
      <c r="AN590" s="372"/>
      <c r="AO590" s="372"/>
      <c r="AP590" s="372"/>
      <c r="AQ590" s="373"/>
      <c r="AU590" s="53"/>
      <c r="AV590" s="53"/>
      <c r="AW590" s="53"/>
    </row>
    <row r="591" spans="2:49" ht="13.5" hidden="1" customHeight="1" thickBot="1" x14ac:dyDescent="0.25">
      <c r="B591" s="74"/>
      <c r="C591" s="74"/>
      <c r="D591" s="216"/>
      <c r="E591" s="209"/>
      <c r="F591" s="210"/>
      <c r="G591" s="217">
        <v>4</v>
      </c>
      <c r="H591" s="209"/>
      <c r="I591" s="209"/>
      <c r="J591" s="209"/>
      <c r="K591" s="209"/>
      <c r="L591" s="209"/>
      <c r="M591" s="209"/>
      <c r="N591" s="209"/>
      <c r="O591" s="210"/>
      <c r="P591" s="214"/>
      <c r="Q591" s="214"/>
      <c r="R591" s="215"/>
      <c r="S591" s="216"/>
      <c r="T591" s="209"/>
      <c r="U591" s="210"/>
      <c r="V591" s="217">
        <v>4</v>
      </c>
      <c r="W591" s="209"/>
      <c r="X591" s="209"/>
      <c r="Y591" s="209"/>
      <c r="Z591" s="209"/>
      <c r="AA591" s="209"/>
      <c r="AB591" s="209"/>
      <c r="AC591" s="209"/>
      <c r="AD591" s="210"/>
      <c r="AE591" s="214"/>
      <c r="AF591" s="214"/>
      <c r="AG591" s="368"/>
      <c r="AH591" s="369"/>
      <c r="AI591" s="369"/>
      <c r="AJ591" s="370"/>
      <c r="AK591" s="374"/>
      <c r="AL591" s="375"/>
      <c r="AM591" s="375"/>
      <c r="AN591" s="375"/>
      <c r="AO591" s="375"/>
      <c r="AP591" s="375"/>
      <c r="AQ591" s="376"/>
      <c r="AU591" s="53"/>
      <c r="AV591" s="53"/>
      <c r="AW591" s="53"/>
    </row>
    <row r="592" spans="2:49" ht="13.5" hidden="1" customHeight="1" x14ac:dyDescent="0.2">
      <c r="B592" s="74"/>
      <c r="C592" s="74"/>
      <c r="D592" s="216"/>
      <c r="E592" s="209"/>
      <c r="F592" s="210"/>
      <c r="G592" s="217">
        <v>5</v>
      </c>
      <c r="H592" s="209"/>
      <c r="I592" s="209"/>
      <c r="J592" s="209"/>
      <c r="K592" s="209"/>
      <c r="L592" s="209"/>
      <c r="M592" s="209"/>
      <c r="N592" s="209"/>
      <c r="O592" s="210"/>
      <c r="P592" s="214"/>
      <c r="Q592" s="214"/>
      <c r="R592" s="215"/>
      <c r="S592" s="216"/>
      <c r="T592" s="209"/>
      <c r="U592" s="210"/>
      <c r="V592" s="217">
        <v>5</v>
      </c>
      <c r="W592" s="209"/>
      <c r="X592" s="209"/>
      <c r="Y592" s="209"/>
      <c r="Z592" s="209"/>
      <c r="AA592" s="209"/>
      <c r="AB592" s="209"/>
      <c r="AC592" s="209"/>
      <c r="AD592" s="210"/>
      <c r="AE592" s="214"/>
      <c r="AF592" s="214"/>
      <c r="AG592" s="102" t="s">
        <v>67</v>
      </c>
      <c r="AH592" s="70"/>
      <c r="AI592" s="70"/>
      <c r="AJ592" s="70"/>
      <c r="AK592" s="70"/>
      <c r="AL592" s="70"/>
      <c r="AM592" s="70"/>
      <c r="AN592" s="70"/>
      <c r="AO592" s="70" t="s">
        <v>68</v>
      </c>
      <c r="AP592" s="70"/>
      <c r="AQ592" s="79"/>
      <c r="AU592" s="53"/>
      <c r="AV592" s="53"/>
      <c r="AW592" s="53"/>
    </row>
    <row r="593" spans="2:49" ht="13.5" hidden="1" customHeight="1" x14ac:dyDescent="0.2">
      <c r="B593" s="74"/>
      <c r="C593" s="74"/>
      <c r="D593" s="216"/>
      <c r="E593" s="209"/>
      <c r="F593" s="210"/>
      <c r="G593" s="217">
        <v>6</v>
      </c>
      <c r="H593" s="209"/>
      <c r="I593" s="209"/>
      <c r="J593" s="209"/>
      <c r="K593" s="209"/>
      <c r="L593" s="209"/>
      <c r="M593" s="209"/>
      <c r="N593" s="209"/>
      <c r="O593" s="210"/>
      <c r="P593" s="214"/>
      <c r="Q593" s="214"/>
      <c r="R593" s="215"/>
      <c r="S593" s="216"/>
      <c r="T593" s="209"/>
      <c r="U593" s="210"/>
      <c r="V593" s="217">
        <v>6</v>
      </c>
      <c r="W593" s="209"/>
      <c r="X593" s="209"/>
      <c r="Y593" s="209"/>
      <c r="Z593" s="209"/>
      <c r="AA593" s="209"/>
      <c r="AB593" s="209"/>
      <c r="AC593" s="209"/>
      <c r="AD593" s="210"/>
      <c r="AE593" s="214"/>
      <c r="AF593" s="214"/>
      <c r="AG593" s="103"/>
      <c r="AH593" s="67"/>
      <c r="AI593" s="67"/>
      <c r="AJ593" s="67"/>
      <c r="AK593" s="67"/>
      <c r="AL593" s="67"/>
      <c r="AM593" s="67"/>
      <c r="AN593" s="67"/>
      <c r="AO593" s="67"/>
      <c r="AP593" s="67"/>
      <c r="AQ593" s="81"/>
      <c r="AU593" s="53"/>
      <c r="AV593" s="53"/>
      <c r="AW593" s="53"/>
    </row>
    <row r="594" spans="2:49" ht="13.5" hidden="1" customHeight="1" thickBot="1" x14ac:dyDescent="0.25">
      <c r="B594" s="74"/>
      <c r="C594" s="74"/>
      <c r="D594" s="216"/>
      <c r="E594" s="209"/>
      <c r="F594" s="210"/>
      <c r="G594" s="217">
        <v>7</v>
      </c>
      <c r="H594" s="209"/>
      <c r="I594" s="209"/>
      <c r="J594" s="209"/>
      <c r="K594" s="209"/>
      <c r="L594" s="209"/>
      <c r="M594" s="209"/>
      <c r="N594" s="209"/>
      <c r="O594" s="210"/>
      <c r="P594" s="214"/>
      <c r="Q594" s="214"/>
      <c r="R594" s="215"/>
      <c r="S594" s="216"/>
      <c r="T594" s="209"/>
      <c r="U594" s="210"/>
      <c r="V594" s="217">
        <v>7</v>
      </c>
      <c r="W594" s="209"/>
      <c r="X594" s="209"/>
      <c r="Y594" s="209"/>
      <c r="Z594" s="209"/>
      <c r="AA594" s="209"/>
      <c r="AB594" s="209"/>
      <c r="AC594" s="209"/>
      <c r="AD594" s="210"/>
      <c r="AE594" s="214"/>
      <c r="AF594" s="214"/>
      <c r="AG594" s="74" t="s">
        <v>69</v>
      </c>
      <c r="AH594" s="67"/>
      <c r="AI594" s="67"/>
      <c r="AJ594" s="67"/>
      <c r="AK594" s="67"/>
      <c r="AL594" s="67"/>
      <c r="AM594" s="67"/>
      <c r="AN594" s="67"/>
      <c r="AO594" s="67"/>
      <c r="AP594" s="67"/>
      <c r="AQ594" s="81"/>
      <c r="AU594" s="53"/>
      <c r="AV594" s="53"/>
      <c r="AW594" s="53"/>
    </row>
    <row r="595" spans="2:49" ht="13.5" hidden="1" customHeight="1" thickBot="1" x14ac:dyDescent="0.25">
      <c r="B595" s="74"/>
      <c r="C595" s="74"/>
      <c r="D595" s="222"/>
      <c r="E595" s="218"/>
      <c r="F595" s="219"/>
      <c r="G595" s="220">
        <v>8</v>
      </c>
      <c r="H595" s="218"/>
      <c r="I595" s="218"/>
      <c r="J595" s="218"/>
      <c r="K595" s="218"/>
      <c r="L595" s="218"/>
      <c r="M595" s="218"/>
      <c r="N595" s="218"/>
      <c r="O595" s="219"/>
      <c r="P595" s="221"/>
      <c r="Q595" s="221"/>
      <c r="R595" s="215"/>
      <c r="S595" s="222"/>
      <c r="T595" s="218"/>
      <c r="U595" s="219"/>
      <c r="V595" s="220">
        <v>8</v>
      </c>
      <c r="W595" s="218"/>
      <c r="X595" s="218"/>
      <c r="Y595" s="218"/>
      <c r="Z595" s="218"/>
      <c r="AA595" s="218"/>
      <c r="AB595" s="218"/>
      <c r="AC595" s="218"/>
      <c r="AD595" s="219"/>
      <c r="AE595" s="221"/>
      <c r="AF595" s="221"/>
      <c r="AG595" s="104" t="s">
        <v>70</v>
      </c>
      <c r="AH595" s="70"/>
      <c r="AI595" s="70"/>
      <c r="AJ595" s="70"/>
      <c r="AK595" s="70"/>
      <c r="AL595" s="70"/>
      <c r="AM595" s="70"/>
      <c r="AN595" s="70"/>
      <c r="AO595" s="70"/>
      <c r="AP595" s="70"/>
      <c r="AQ595" s="79"/>
      <c r="AU595" s="53"/>
      <c r="AV595" s="53"/>
      <c r="AW595" s="53"/>
    </row>
    <row r="596" spans="2:49" ht="13.5" hidden="1" customHeight="1" thickBot="1" x14ac:dyDescent="0.25">
      <c r="B596" s="74"/>
      <c r="C596" s="74"/>
      <c r="D596" s="89"/>
      <c r="E596" s="105"/>
      <c r="F596" s="105"/>
      <c r="G596" s="105"/>
      <c r="H596" s="105"/>
      <c r="I596" s="105"/>
      <c r="J596" s="106" t="s">
        <v>71</v>
      </c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7"/>
      <c r="AG596" s="84" t="s">
        <v>72</v>
      </c>
      <c r="AH596" s="67"/>
      <c r="AI596" s="67"/>
      <c r="AJ596" s="67"/>
      <c r="AK596" s="67"/>
      <c r="AL596" s="67"/>
      <c r="AM596" s="67"/>
      <c r="AN596" s="67"/>
      <c r="AO596" s="67"/>
      <c r="AP596" s="67"/>
      <c r="AQ596" s="81"/>
      <c r="AU596" s="53"/>
      <c r="AV596" s="53"/>
      <c r="AW596" s="53"/>
    </row>
    <row r="597" spans="2:49" ht="13.5" hidden="1" customHeight="1" thickBot="1" x14ac:dyDescent="0.25">
      <c r="B597" s="74"/>
      <c r="C597" s="74"/>
      <c r="D597" s="108" t="s">
        <v>73</v>
      </c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7"/>
      <c r="S597" s="108" t="s">
        <v>74</v>
      </c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7"/>
      <c r="AG597" s="109" t="s">
        <v>75</v>
      </c>
      <c r="AH597" s="110"/>
      <c r="AI597" s="110"/>
      <c r="AJ597" s="110"/>
      <c r="AK597" s="110"/>
      <c r="AL597" s="87"/>
      <c r="AM597" s="111" t="s">
        <v>76</v>
      </c>
      <c r="AN597" s="110"/>
      <c r="AO597" s="110"/>
      <c r="AP597" s="110"/>
      <c r="AQ597" s="87"/>
      <c r="AU597" s="53"/>
      <c r="AV597" s="53"/>
      <c r="AW597" s="53"/>
    </row>
    <row r="598" spans="2:49" ht="17.25" hidden="1" customHeight="1" thickBot="1" x14ac:dyDescent="0.25">
      <c r="B598" s="72"/>
      <c r="C598" s="72"/>
      <c r="D598" s="108" t="s">
        <v>77</v>
      </c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7"/>
      <c r="S598" s="108" t="s">
        <v>6</v>
      </c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7"/>
      <c r="AG598" s="112" t="s">
        <v>78</v>
      </c>
      <c r="AH598" s="73"/>
      <c r="AI598" s="73"/>
      <c r="AJ598" s="73"/>
      <c r="AK598" s="73"/>
      <c r="AL598" s="87"/>
      <c r="AM598" s="113" t="s">
        <v>79</v>
      </c>
      <c r="AN598" s="73"/>
      <c r="AO598" s="73"/>
      <c r="AP598" s="73"/>
      <c r="AQ598" s="87"/>
      <c r="AU598" s="53"/>
      <c r="AV598" s="53"/>
      <c r="AW598" s="53"/>
    </row>
    <row r="599" spans="2:49" hidden="1" x14ac:dyDescent="0.2">
      <c r="AU599" s="53"/>
      <c r="AV599" s="53"/>
      <c r="AW599" s="53"/>
    </row>
  </sheetData>
  <mergeCells count="851">
    <mergeCell ref="AN516:AO516"/>
    <mergeCell ref="AP516:AQ516"/>
    <mergeCell ref="AN517:AO517"/>
    <mergeCell ref="AP517:AQ517"/>
    <mergeCell ref="AN512:AO512"/>
    <mergeCell ref="AP512:AQ512"/>
    <mergeCell ref="AM505:AQ506"/>
    <mergeCell ref="AN513:AO513"/>
    <mergeCell ref="AP513:AQ513"/>
    <mergeCell ref="AN514:AO514"/>
    <mergeCell ref="AP514:AQ514"/>
    <mergeCell ref="AN515:AO515"/>
    <mergeCell ref="AP515:AQ515"/>
    <mergeCell ref="AN449:AO449"/>
    <mergeCell ref="AP449:AQ449"/>
    <mergeCell ref="AM471:AQ472"/>
    <mergeCell ref="AN483:AO483"/>
    <mergeCell ref="AP483:AQ483"/>
    <mergeCell ref="AN484:AO484"/>
    <mergeCell ref="AP484:AQ484"/>
    <mergeCell ref="AN481:AO481"/>
    <mergeCell ref="AP481:AQ481"/>
    <mergeCell ref="AN482:AO482"/>
    <mergeCell ref="AP482:AQ482"/>
    <mergeCell ref="AN479:AO479"/>
    <mergeCell ref="AN444:AO444"/>
    <mergeCell ref="AP444:AQ444"/>
    <mergeCell ref="AN445:AO445"/>
    <mergeCell ref="AP445:AQ445"/>
    <mergeCell ref="AN446:AO446"/>
    <mergeCell ref="AP446:AQ446"/>
    <mergeCell ref="AN447:AO447"/>
    <mergeCell ref="AP447:AQ447"/>
    <mergeCell ref="AN448:AO448"/>
    <mergeCell ref="AP448:AQ448"/>
    <mergeCell ref="AN379:AO379"/>
    <mergeCell ref="AP379:AQ379"/>
    <mergeCell ref="AN380:AO380"/>
    <mergeCell ref="AP380:AQ380"/>
    <mergeCell ref="AN381:AO381"/>
    <mergeCell ref="AP381:AQ381"/>
    <mergeCell ref="AN382:AO382"/>
    <mergeCell ref="AP382:AQ382"/>
    <mergeCell ref="AN383:AO383"/>
    <mergeCell ref="AP383:AQ383"/>
    <mergeCell ref="AN317:AO317"/>
    <mergeCell ref="AP317:AQ317"/>
    <mergeCell ref="AN348:AO348"/>
    <mergeCell ref="AP348:AQ348"/>
    <mergeCell ref="AN349:AO349"/>
    <mergeCell ref="AP349:AQ349"/>
    <mergeCell ref="AN350:AO350"/>
    <mergeCell ref="AP350:AQ350"/>
    <mergeCell ref="AN378:AO378"/>
    <mergeCell ref="AP378:AQ378"/>
    <mergeCell ref="AN312:AO312"/>
    <mergeCell ref="AP312:AQ312"/>
    <mergeCell ref="AN313:AO313"/>
    <mergeCell ref="AP313:AQ313"/>
    <mergeCell ref="AN314:AO314"/>
    <mergeCell ref="AP314:AQ314"/>
    <mergeCell ref="AN315:AO315"/>
    <mergeCell ref="AP315:AQ315"/>
    <mergeCell ref="AN316:AO316"/>
    <mergeCell ref="AP316:AQ316"/>
    <mergeCell ref="AN247:AO247"/>
    <mergeCell ref="AP247:AQ247"/>
    <mergeCell ref="AN248:AO248"/>
    <mergeCell ref="AP248:AQ248"/>
    <mergeCell ref="AN249:AO249"/>
    <mergeCell ref="AP249:AQ249"/>
    <mergeCell ref="AN250:AO250"/>
    <mergeCell ref="AP250:AQ250"/>
    <mergeCell ref="AN251:AO251"/>
    <mergeCell ref="AP251:AQ251"/>
    <mergeCell ref="AN185:AO185"/>
    <mergeCell ref="AP185:AQ185"/>
    <mergeCell ref="AN216:AO216"/>
    <mergeCell ref="AP216:AQ216"/>
    <mergeCell ref="AN217:AO217"/>
    <mergeCell ref="AP217:AQ217"/>
    <mergeCell ref="AN218:AO218"/>
    <mergeCell ref="AP218:AQ218"/>
    <mergeCell ref="AN246:AO246"/>
    <mergeCell ref="AP246:AQ246"/>
    <mergeCell ref="AN180:AO180"/>
    <mergeCell ref="AP180:AQ180"/>
    <mergeCell ref="AN181:AO181"/>
    <mergeCell ref="AP181:AQ181"/>
    <mergeCell ref="AN182:AO182"/>
    <mergeCell ref="AP182:AQ182"/>
    <mergeCell ref="AN183:AO183"/>
    <mergeCell ref="AP183:AQ183"/>
    <mergeCell ref="AN184:AO184"/>
    <mergeCell ref="AP184:AQ184"/>
    <mergeCell ref="AN116:AO116"/>
    <mergeCell ref="AP116:AQ116"/>
    <mergeCell ref="AN117:AO117"/>
    <mergeCell ref="AP117:AQ117"/>
    <mergeCell ref="AN118:AO118"/>
    <mergeCell ref="AP118:AQ118"/>
    <mergeCell ref="AN119:AO119"/>
    <mergeCell ref="AP119:AQ119"/>
    <mergeCell ref="AN120:AO120"/>
    <mergeCell ref="AP120:AQ120"/>
    <mergeCell ref="AN20:AO20"/>
    <mergeCell ref="AP20:AQ20"/>
    <mergeCell ref="AP21:AQ21"/>
    <mergeCell ref="AN81:AO81"/>
    <mergeCell ref="AP81:AQ81"/>
    <mergeCell ref="AN82:AO82"/>
    <mergeCell ref="AP82:AQ82"/>
    <mergeCell ref="AN52:AO52"/>
    <mergeCell ref="AN53:AO53"/>
    <mergeCell ref="AP48:AQ48"/>
    <mergeCell ref="AP49:AQ49"/>
    <mergeCell ref="AP50:AQ50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K452:AQ453"/>
    <mergeCell ref="AG454:AJ455"/>
    <mergeCell ref="AK454:AQ455"/>
    <mergeCell ref="AN450:AO450"/>
    <mergeCell ref="AP450:AQ450"/>
    <mergeCell ref="AP51:AQ51"/>
    <mergeCell ref="AP52:AQ52"/>
    <mergeCell ref="AP53:AQ53"/>
    <mergeCell ref="AN48:AO48"/>
    <mergeCell ref="AN49:AO49"/>
    <mergeCell ref="AN50:AO50"/>
    <mergeCell ref="AN51:AO51"/>
    <mergeCell ref="AN85:AO85"/>
    <mergeCell ref="AP85:AQ85"/>
    <mergeCell ref="AN86:AO86"/>
    <mergeCell ref="AP86:AQ86"/>
    <mergeCell ref="AN87:AO87"/>
    <mergeCell ref="AP87:AQ87"/>
    <mergeCell ref="AN114:AO114"/>
    <mergeCell ref="AP114:AQ114"/>
    <mergeCell ref="AM107:AQ108"/>
    <mergeCell ref="AM105:AQ106"/>
    <mergeCell ref="AN115:AO115"/>
    <mergeCell ref="AP115:AQ115"/>
    <mergeCell ref="D450:F451"/>
    <mergeCell ref="G450:O451"/>
    <mergeCell ref="P450:P451"/>
    <mergeCell ref="Q450:Q451"/>
    <mergeCell ref="S450:U451"/>
    <mergeCell ref="V450:AD451"/>
    <mergeCell ref="AE450:AE451"/>
    <mergeCell ref="AF450:AF451"/>
    <mergeCell ref="AG452:AJ453"/>
    <mergeCell ref="S435:X436"/>
    <mergeCell ref="Y435:AG436"/>
    <mergeCell ref="AH435:AL436"/>
    <mergeCell ref="AM435:AQ436"/>
    <mergeCell ref="AM437:AQ438"/>
    <mergeCell ref="Y439:AG439"/>
    <mergeCell ref="Q440:Q442"/>
    <mergeCell ref="AF440:AF442"/>
    <mergeCell ref="D437:R438"/>
    <mergeCell ref="S437:X438"/>
    <mergeCell ref="Y437:AG438"/>
    <mergeCell ref="AH437:AL438"/>
    <mergeCell ref="D441:P442"/>
    <mergeCell ref="S441:AE442"/>
    <mergeCell ref="AH441:AM442"/>
    <mergeCell ref="AG419:AJ420"/>
    <mergeCell ref="AK419:AQ420"/>
    <mergeCell ref="AG421:AJ422"/>
    <mergeCell ref="AK421:AQ422"/>
    <mergeCell ref="AN417:AO417"/>
    <mergeCell ref="AP417:AQ417"/>
    <mergeCell ref="AH431:AL431"/>
    <mergeCell ref="AM431:AQ431"/>
    <mergeCell ref="S433:X434"/>
    <mergeCell ref="Y433:AG434"/>
    <mergeCell ref="AH433:AL434"/>
    <mergeCell ref="AM433:AQ434"/>
    <mergeCell ref="AN411:AO411"/>
    <mergeCell ref="AP411:AQ411"/>
    <mergeCell ref="AN412:AO412"/>
    <mergeCell ref="AP412:AQ412"/>
    <mergeCell ref="AN413:AO413"/>
    <mergeCell ref="AP413:AQ413"/>
    <mergeCell ref="D417:F418"/>
    <mergeCell ref="G417:O418"/>
    <mergeCell ref="P417:P418"/>
    <mergeCell ref="Q417:Q418"/>
    <mergeCell ref="S417:U418"/>
    <mergeCell ref="V417:AD418"/>
    <mergeCell ref="AE417:AE418"/>
    <mergeCell ref="AF417:AF418"/>
    <mergeCell ref="AN414:AO414"/>
    <mergeCell ref="AP414:AQ414"/>
    <mergeCell ref="AN415:AO415"/>
    <mergeCell ref="AP415:AQ415"/>
    <mergeCell ref="AN416:AO416"/>
    <mergeCell ref="AP416:AQ416"/>
    <mergeCell ref="S400:X401"/>
    <mergeCell ref="Y400:AG401"/>
    <mergeCell ref="AH400:AL401"/>
    <mergeCell ref="AM400:AQ401"/>
    <mergeCell ref="S402:X403"/>
    <mergeCell ref="Y402:AG403"/>
    <mergeCell ref="AH402:AL403"/>
    <mergeCell ref="AM402:AQ403"/>
    <mergeCell ref="D408:P409"/>
    <mergeCell ref="S408:AE409"/>
    <mergeCell ref="AM404:AQ405"/>
    <mergeCell ref="Y406:AG406"/>
    <mergeCell ref="D404:R405"/>
    <mergeCell ref="S404:X405"/>
    <mergeCell ref="Y404:AG405"/>
    <mergeCell ref="AH404:AL405"/>
    <mergeCell ref="AH408:AM409"/>
    <mergeCell ref="Q407:Q409"/>
    <mergeCell ref="AF407:AF409"/>
    <mergeCell ref="D384:F385"/>
    <mergeCell ref="G384:O385"/>
    <mergeCell ref="P384:P385"/>
    <mergeCell ref="Q384:Q385"/>
    <mergeCell ref="S384:U385"/>
    <mergeCell ref="V384:AD385"/>
    <mergeCell ref="AE384:AE385"/>
    <mergeCell ref="AH398:AL398"/>
    <mergeCell ref="AM398:AQ398"/>
    <mergeCell ref="AF384:AF385"/>
    <mergeCell ref="AG386:AJ387"/>
    <mergeCell ref="AK386:AQ387"/>
    <mergeCell ref="AG388:AJ389"/>
    <mergeCell ref="AK388:AQ389"/>
    <mergeCell ref="AN384:AO384"/>
    <mergeCell ref="AP384:AQ384"/>
    <mergeCell ref="S369:X370"/>
    <mergeCell ref="Y369:AG370"/>
    <mergeCell ref="AH369:AL370"/>
    <mergeCell ref="AM369:AQ370"/>
    <mergeCell ref="AM371:AQ372"/>
    <mergeCell ref="Y373:AG373"/>
    <mergeCell ref="Q374:Q376"/>
    <mergeCell ref="AF374:AF376"/>
    <mergeCell ref="D371:R372"/>
    <mergeCell ref="S371:X372"/>
    <mergeCell ref="Y371:AG372"/>
    <mergeCell ref="AH371:AL372"/>
    <mergeCell ref="D375:P376"/>
    <mergeCell ref="S375:AE376"/>
    <mergeCell ref="AH375:AM376"/>
    <mergeCell ref="AG353:AJ354"/>
    <mergeCell ref="AK353:AQ354"/>
    <mergeCell ref="AG355:AJ356"/>
    <mergeCell ref="AK355:AQ356"/>
    <mergeCell ref="AN351:AO351"/>
    <mergeCell ref="AP351:AQ351"/>
    <mergeCell ref="AH365:AL365"/>
    <mergeCell ref="AM365:AQ365"/>
    <mergeCell ref="S367:X368"/>
    <mergeCell ref="Y367:AG368"/>
    <mergeCell ref="AH367:AL368"/>
    <mergeCell ref="AM367:AQ368"/>
    <mergeCell ref="AN345:AO345"/>
    <mergeCell ref="AP345:AQ345"/>
    <mergeCell ref="AN346:AO346"/>
    <mergeCell ref="AP346:AQ346"/>
    <mergeCell ref="AN347:AO347"/>
    <mergeCell ref="AP347:AQ347"/>
    <mergeCell ref="D351:F352"/>
    <mergeCell ref="G351:O352"/>
    <mergeCell ref="P351:P352"/>
    <mergeCell ref="Q351:Q352"/>
    <mergeCell ref="S351:U352"/>
    <mergeCell ref="V351:AD352"/>
    <mergeCell ref="AE351:AE352"/>
    <mergeCell ref="AF351:AF352"/>
    <mergeCell ref="S334:X335"/>
    <mergeCell ref="Y334:AG335"/>
    <mergeCell ref="AH334:AL335"/>
    <mergeCell ref="AM334:AQ335"/>
    <mergeCell ref="S336:X337"/>
    <mergeCell ref="Y336:AG337"/>
    <mergeCell ref="AH336:AL337"/>
    <mergeCell ref="AM336:AQ337"/>
    <mergeCell ref="D342:P343"/>
    <mergeCell ref="S342:AE343"/>
    <mergeCell ref="AM338:AQ339"/>
    <mergeCell ref="Y340:AG340"/>
    <mergeCell ref="D338:R339"/>
    <mergeCell ref="S338:X339"/>
    <mergeCell ref="Y338:AG339"/>
    <mergeCell ref="AH338:AL339"/>
    <mergeCell ref="AH342:AM343"/>
    <mergeCell ref="Q341:Q343"/>
    <mergeCell ref="AF341:AF343"/>
    <mergeCell ref="D318:F319"/>
    <mergeCell ref="G318:O319"/>
    <mergeCell ref="P318:P319"/>
    <mergeCell ref="Q318:Q319"/>
    <mergeCell ref="S318:U319"/>
    <mergeCell ref="V318:AD319"/>
    <mergeCell ref="AE318:AE319"/>
    <mergeCell ref="AH332:AL332"/>
    <mergeCell ref="AM332:AQ332"/>
    <mergeCell ref="AF318:AF319"/>
    <mergeCell ref="AG320:AJ321"/>
    <mergeCell ref="AK320:AQ321"/>
    <mergeCell ref="AG322:AJ323"/>
    <mergeCell ref="AK322:AQ323"/>
    <mergeCell ref="AN318:AO318"/>
    <mergeCell ref="AP318:AQ318"/>
    <mergeCell ref="S303:X304"/>
    <mergeCell ref="Y303:AG304"/>
    <mergeCell ref="AH303:AL304"/>
    <mergeCell ref="AM303:AQ304"/>
    <mergeCell ref="AM305:AQ306"/>
    <mergeCell ref="Y307:AG307"/>
    <mergeCell ref="Q308:Q310"/>
    <mergeCell ref="AF308:AF310"/>
    <mergeCell ref="D305:R306"/>
    <mergeCell ref="S305:X306"/>
    <mergeCell ref="Y305:AG306"/>
    <mergeCell ref="AH305:AL306"/>
    <mergeCell ref="D309:P310"/>
    <mergeCell ref="S309:AE310"/>
    <mergeCell ref="AH309:AM310"/>
    <mergeCell ref="AG287:AJ288"/>
    <mergeCell ref="AK287:AQ288"/>
    <mergeCell ref="AG289:AJ290"/>
    <mergeCell ref="AK289:AQ290"/>
    <mergeCell ref="AN285:AO285"/>
    <mergeCell ref="AP285:AQ285"/>
    <mergeCell ref="AH299:AL299"/>
    <mergeCell ref="AM299:AQ299"/>
    <mergeCell ref="S301:X302"/>
    <mergeCell ref="Y301:AG302"/>
    <mergeCell ref="AH301:AL302"/>
    <mergeCell ref="AM301:AQ302"/>
    <mergeCell ref="AN279:AO279"/>
    <mergeCell ref="AP279:AQ279"/>
    <mergeCell ref="AN280:AO280"/>
    <mergeCell ref="AP280:AQ280"/>
    <mergeCell ref="AN281:AO281"/>
    <mergeCell ref="AP281:AQ281"/>
    <mergeCell ref="D285:F286"/>
    <mergeCell ref="G285:O286"/>
    <mergeCell ref="P285:P286"/>
    <mergeCell ref="Q285:Q286"/>
    <mergeCell ref="S285:U286"/>
    <mergeCell ref="V285:AD286"/>
    <mergeCell ref="AE285:AE286"/>
    <mergeCell ref="AF285:AF286"/>
    <mergeCell ref="AN282:AO282"/>
    <mergeCell ref="AP282:AQ282"/>
    <mergeCell ref="AN283:AO283"/>
    <mergeCell ref="AP283:AQ283"/>
    <mergeCell ref="AN284:AO284"/>
    <mergeCell ref="AP284:AQ284"/>
    <mergeCell ref="S268:X269"/>
    <mergeCell ref="Y268:AG269"/>
    <mergeCell ref="AH268:AL269"/>
    <mergeCell ref="AM268:AQ269"/>
    <mergeCell ref="S270:X271"/>
    <mergeCell ref="Y270:AG271"/>
    <mergeCell ref="AH270:AL271"/>
    <mergeCell ref="AM270:AQ271"/>
    <mergeCell ref="D276:P277"/>
    <mergeCell ref="S276:AE277"/>
    <mergeCell ref="AM272:AQ273"/>
    <mergeCell ref="Y274:AG274"/>
    <mergeCell ref="D272:R273"/>
    <mergeCell ref="S272:X273"/>
    <mergeCell ref="Y272:AG273"/>
    <mergeCell ref="AH272:AL273"/>
    <mergeCell ref="AH276:AM277"/>
    <mergeCell ref="Q275:Q277"/>
    <mergeCell ref="AF275:AF277"/>
    <mergeCell ref="D252:F253"/>
    <mergeCell ref="G252:O253"/>
    <mergeCell ref="P252:P253"/>
    <mergeCell ref="Q252:Q253"/>
    <mergeCell ref="S252:U253"/>
    <mergeCell ref="V252:AD253"/>
    <mergeCell ref="AE252:AE253"/>
    <mergeCell ref="AH266:AL266"/>
    <mergeCell ref="AM266:AQ266"/>
    <mergeCell ref="AF252:AF253"/>
    <mergeCell ref="AG254:AJ255"/>
    <mergeCell ref="AK254:AQ255"/>
    <mergeCell ref="AG256:AJ257"/>
    <mergeCell ref="AK256:AQ257"/>
    <mergeCell ref="AN252:AO252"/>
    <mergeCell ref="AP252:AQ252"/>
    <mergeCell ref="S237:X238"/>
    <mergeCell ref="Y237:AG238"/>
    <mergeCell ref="AH237:AL238"/>
    <mergeCell ref="AM237:AQ238"/>
    <mergeCell ref="AM239:AQ240"/>
    <mergeCell ref="Y241:AG241"/>
    <mergeCell ref="Q242:Q244"/>
    <mergeCell ref="AF242:AF244"/>
    <mergeCell ref="D239:R240"/>
    <mergeCell ref="S239:X240"/>
    <mergeCell ref="Y239:AG240"/>
    <mergeCell ref="AH239:AL240"/>
    <mergeCell ref="D243:P244"/>
    <mergeCell ref="S243:AE244"/>
    <mergeCell ref="AH243:AM244"/>
    <mergeCell ref="AG221:AJ222"/>
    <mergeCell ref="AK221:AQ222"/>
    <mergeCell ref="AG223:AJ224"/>
    <mergeCell ref="AK223:AQ224"/>
    <mergeCell ref="AN219:AO219"/>
    <mergeCell ref="AP219:AQ219"/>
    <mergeCell ref="AH233:AL233"/>
    <mergeCell ref="AM233:AQ233"/>
    <mergeCell ref="S235:X236"/>
    <mergeCell ref="Y235:AG236"/>
    <mergeCell ref="AH235:AL236"/>
    <mergeCell ref="AM235:AQ236"/>
    <mergeCell ref="AN213:AO213"/>
    <mergeCell ref="AP213:AQ213"/>
    <mergeCell ref="AN214:AO214"/>
    <mergeCell ref="AP214:AQ214"/>
    <mergeCell ref="AN215:AO215"/>
    <mergeCell ref="AP215:AQ215"/>
    <mergeCell ref="D219:F220"/>
    <mergeCell ref="G219:O220"/>
    <mergeCell ref="P219:P220"/>
    <mergeCell ref="Q219:Q220"/>
    <mergeCell ref="S219:U220"/>
    <mergeCell ref="V219:AD220"/>
    <mergeCell ref="AE219:AE220"/>
    <mergeCell ref="AF219:AF220"/>
    <mergeCell ref="S202:X203"/>
    <mergeCell ref="Y202:AG203"/>
    <mergeCell ref="AH202:AL203"/>
    <mergeCell ref="AM202:AQ203"/>
    <mergeCell ref="S204:X205"/>
    <mergeCell ref="Y204:AG205"/>
    <mergeCell ref="AH204:AL205"/>
    <mergeCell ref="AM204:AQ205"/>
    <mergeCell ref="D210:P211"/>
    <mergeCell ref="S210:AE211"/>
    <mergeCell ref="AM206:AQ207"/>
    <mergeCell ref="Y208:AG208"/>
    <mergeCell ref="D206:R207"/>
    <mergeCell ref="S206:X207"/>
    <mergeCell ref="Y206:AG207"/>
    <mergeCell ref="AH206:AL207"/>
    <mergeCell ref="AH210:AM211"/>
    <mergeCell ref="Q209:Q211"/>
    <mergeCell ref="AF209:AF211"/>
    <mergeCell ref="D186:F187"/>
    <mergeCell ref="G186:O187"/>
    <mergeCell ref="P186:P187"/>
    <mergeCell ref="Q186:Q187"/>
    <mergeCell ref="S186:U187"/>
    <mergeCell ref="V186:AD187"/>
    <mergeCell ref="AE186:AE187"/>
    <mergeCell ref="AH200:AL200"/>
    <mergeCell ref="AM200:AQ200"/>
    <mergeCell ref="AF186:AF187"/>
    <mergeCell ref="AG188:AJ189"/>
    <mergeCell ref="AK188:AQ189"/>
    <mergeCell ref="AG190:AJ191"/>
    <mergeCell ref="AK190:AQ191"/>
    <mergeCell ref="AN186:AO186"/>
    <mergeCell ref="AP186:AQ186"/>
    <mergeCell ref="S171:X172"/>
    <mergeCell ref="Y171:AG172"/>
    <mergeCell ref="AH171:AL172"/>
    <mergeCell ref="AM171:AQ172"/>
    <mergeCell ref="AM173:AQ174"/>
    <mergeCell ref="Y175:AG175"/>
    <mergeCell ref="Q176:Q178"/>
    <mergeCell ref="AF176:AF178"/>
    <mergeCell ref="D173:R174"/>
    <mergeCell ref="S173:X174"/>
    <mergeCell ref="Y173:AG174"/>
    <mergeCell ref="AH173:AL174"/>
    <mergeCell ref="D177:P178"/>
    <mergeCell ref="S177:AE178"/>
    <mergeCell ref="AH177:AM178"/>
    <mergeCell ref="AG155:AJ156"/>
    <mergeCell ref="AK155:AQ156"/>
    <mergeCell ref="AG157:AJ158"/>
    <mergeCell ref="AK157:AQ158"/>
    <mergeCell ref="AH167:AL167"/>
    <mergeCell ref="AM167:AQ167"/>
    <mergeCell ref="S169:X170"/>
    <mergeCell ref="Y169:AG170"/>
    <mergeCell ref="AH169:AL170"/>
    <mergeCell ref="AM169:AQ170"/>
    <mergeCell ref="AN147:AO147"/>
    <mergeCell ref="AP147:AQ147"/>
    <mergeCell ref="AN148:AO148"/>
    <mergeCell ref="AP148:AQ148"/>
    <mergeCell ref="AN149:AO149"/>
    <mergeCell ref="AP149:AQ149"/>
    <mergeCell ref="D153:F154"/>
    <mergeCell ref="G153:O154"/>
    <mergeCell ref="P153:P154"/>
    <mergeCell ref="Q153:Q154"/>
    <mergeCell ref="S153:U154"/>
    <mergeCell ref="V153:AD154"/>
    <mergeCell ref="AE153:AE154"/>
    <mergeCell ref="AF153:AF154"/>
    <mergeCell ref="AN150:AO150"/>
    <mergeCell ref="AP150:AQ150"/>
    <mergeCell ref="AN151:AO151"/>
    <mergeCell ref="AP151:AQ151"/>
    <mergeCell ref="AN152:AO152"/>
    <mergeCell ref="AP152:AQ152"/>
    <mergeCell ref="AN153:AO153"/>
    <mergeCell ref="AP153:AQ153"/>
    <mergeCell ref="S136:X137"/>
    <mergeCell ref="Y136:AG137"/>
    <mergeCell ref="AH136:AL137"/>
    <mergeCell ref="AM136:AQ137"/>
    <mergeCell ref="S138:X139"/>
    <mergeCell ref="Y138:AG139"/>
    <mergeCell ref="AH138:AL139"/>
    <mergeCell ref="AM138:AQ139"/>
    <mergeCell ref="D144:P145"/>
    <mergeCell ref="S144:AE145"/>
    <mergeCell ref="AM140:AQ141"/>
    <mergeCell ref="Y142:AG142"/>
    <mergeCell ref="D140:R141"/>
    <mergeCell ref="S140:X141"/>
    <mergeCell ref="Y140:AG141"/>
    <mergeCell ref="AH140:AL141"/>
    <mergeCell ref="AH144:AM145"/>
    <mergeCell ref="Q143:Q145"/>
    <mergeCell ref="AF143:AF145"/>
    <mergeCell ref="D120:F121"/>
    <mergeCell ref="G120:O121"/>
    <mergeCell ref="P120:P121"/>
    <mergeCell ref="Q120:Q121"/>
    <mergeCell ref="S120:U121"/>
    <mergeCell ref="V120:AD121"/>
    <mergeCell ref="AE120:AE121"/>
    <mergeCell ref="AH134:AL134"/>
    <mergeCell ref="AM134:AQ134"/>
    <mergeCell ref="AF120:AF121"/>
    <mergeCell ref="AG122:AJ123"/>
    <mergeCell ref="AK122:AQ123"/>
    <mergeCell ref="AG124:AJ125"/>
    <mergeCell ref="AK124:AQ125"/>
    <mergeCell ref="AH107:AL108"/>
    <mergeCell ref="D111:P112"/>
    <mergeCell ref="S111:AE112"/>
    <mergeCell ref="S105:X106"/>
    <mergeCell ref="Y105:AG106"/>
    <mergeCell ref="AH105:AL106"/>
    <mergeCell ref="Y109:AG109"/>
    <mergeCell ref="Q110:Q112"/>
    <mergeCell ref="AF110:AF112"/>
    <mergeCell ref="D107:R108"/>
    <mergeCell ref="S107:X108"/>
    <mergeCell ref="Y107:AG108"/>
    <mergeCell ref="AH111:AM112"/>
    <mergeCell ref="AG89:AJ90"/>
    <mergeCell ref="AK89:AQ90"/>
    <mergeCell ref="AG91:AJ92"/>
    <mergeCell ref="AK91:AQ92"/>
    <mergeCell ref="AH101:AL101"/>
    <mergeCell ref="AM101:AQ101"/>
    <mergeCell ref="S103:X104"/>
    <mergeCell ref="Y103:AG104"/>
    <mergeCell ref="AH103:AL104"/>
    <mergeCell ref="AM103:AQ104"/>
    <mergeCell ref="AN83:AO83"/>
    <mergeCell ref="AP83:AQ83"/>
    <mergeCell ref="AN84:AO84"/>
    <mergeCell ref="AP84:AQ84"/>
    <mergeCell ref="D87:F88"/>
    <mergeCell ref="G87:O88"/>
    <mergeCell ref="P87:P88"/>
    <mergeCell ref="Q87:Q88"/>
    <mergeCell ref="S87:U88"/>
    <mergeCell ref="V87:AD88"/>
    <mergeCell ref="AE87:AE88"/>
    <mergeCell ref="AF87:AF88"/>
    <mergeCell ref="S70:X71"/>
    <mergeCell ref="Y70:AG71"/>
    <mergeCell ref="AH70:AL71"/>
    <mergeCell ref="AM70:AQ71"/>
    <mergeCell ref="S72:X73"/>
    <mergeCell ref="Y72:AG73"/>
    <mergeCell ref="AH72:AL73"/>
    <mergeCell ref="AM72:AQ73"/>
    <mergeCell ref="D78:P79"/>
    <mergeCell ref="S78:AE79"/>
    <mergeCell ref="AM74:AQ75"/>
    <mergeCell ref="Y76:AG76"/>
    <mergeCell ref="D74:R75"/>
    <mergeCell ref="S74:X75"/>
    <mergeCell ref="Y74:AG75"/>
    <mergeCell ref="AH74:AL75"/>
    <mergeCell ref="AH78:AM79"/>
    <mergeCell ref="Q77:Q79"/>
    <mergeCell ref="AF77:AF79"/>
    <mergeCell ref="D54:F55"/>
    <mergeCell ref="G54:O55"/>
    <mergeCell ref="P54:P55"/>
    <mergeCell ref="Q54:Q55"/>
    <mergeCell ref="S54:U55"/>
    <mergeCell ref="V54:AD55"/>
    <mergeCell ref="AE54:AE55"/>
    <mergeCell ref="AH68:AL68"/>
    <mergeCell ref="AM68:AQ68"/>
    <mergeCell ref="AF54:AF55"/>
    <mergeCell ref="AG56:AJ57"/>
    <mergeCell ref="AK56:AQ57"/>
    <mergeCell ref="AG58:AJ59"/>
    <mergeCell ref="AK58:AQ59"/>
    <mergeCell ref="AN54:AO54"/>
    <mergeCell ref="AP54:AQ54"/>
    <mergeCell ref="Q44:Q46"/>
    <mergeCell ref="AF44:AF46"/>
    <mergeCell ref="D41:R42"/>
    <mergeCell ref="S41:X42"/>
    <mergeCell ref="Y41:AG42"/>
    <mergeCell ref="AH41:AL42"/>
    <mergeCell ref="D45:P46"/>
    <mergeCell ref="S45:AE46"/>
    <mergeCell ref="AH45:AM46"/>
    <mergeCell ref="S37:X38"/>
    <mergeCell ref="Y37:AG38"/>
    <mergeCell ref="AH37:AL38"/>
    <mergeCell ref="AM37:AQ38"/>
    <mergeCell ref="S39:X40"/>
    <mergeCell ref="Y39:AG40"/>
    <mergeCell ref="AH39:AL40"/>
    <mergeCell ref="AM39:AQ40"/>
    <mergeCell ref="AM41:AQ42"/>
    <mergeCell ref="G21:O22"/>
    <mergeCell ref="P21:P22"/>
    <mergeCell ref="Q21:Q22"/>
    <mergeCell ref="S12:AE13"/>
    <mergeCell ref="D12:P13"/>
    <mergeCell ref="S21:U22"/>
    <mergeCell ref="V21:AD22"/>
    <mergeCell ref="AE21:AE22"/>
    <mergeCell ref="AF21:AF22"/>
    <mergeCell ref="D21:F22"/>
    <mergeCell ref="AH2:AL2"/>
    <mergeCell ref="AM2:AQ2"/>
    <mergeCell ref="S4:X5"/>
    <mergeCell ref="Y4:AG5"/>
    <mergeCell ref="AH4:AL5"/>
    <mergeCell ref="AM4:AQ5"/>
    <mergeCell ref="AH12:AM13"/>
    <mergeCell ref="Q11:Q13"/>
    <mergeCell ref="AF11:AF13"/>
    <mergeCell ref="S6:X7"/>
    <mergeCell ref="Y6:AG7"/>
    <mergeCell ref="AH6:AL7"/>
    <mergeCell ref="AM6:AQ7"/>
    <mergeCell ref="AM8:AQ9"/>
    <mergeCell ref="Y10:AG10"/>
    <mergeCell ref="D8:R9"/>
    <mergeCell ref="S8:X9"/>
    <mergeCell ref="Y8:AG9"/>
    <mergeCell ref="AH8:AL9"/>
    <mergeCell ref="S469:X470"/>
    <mergeCell ref="Y469:AG470"/>
    <mergeCell ref="AH469:AL470"/>
    <mergeCell ref="AH471:AL472"/>
    <mergeCell ref="AM469:AQ470"/>
    <mergeCell ref="AH465:AL465"/>
    <mergeCell ref="AM465:AQ465"/>
    <mergeCell ref="S467:X468"/>
    <mergeCell ref="Y467:AG468"/>
    <mergeCell ref="AH467:AL468"/>
    <mergeCell ref="AM467:AQ468"/>
    <mergeCell ref="D475:P476"/>
    <mergeCell ref="S475:AE476"/>
    <mergeCell ref="AH475:AM476"/>
    <mergeCell ref="Y473:AG473"/>
    <mergeCell ref="Q474:Q476"/>
    <mergeCell ref="AF474:AF476"/>
    <mergeCell ref="D471:R472"/>
    <mergeCell ref="S471:X472"/>
    <mergeCell ref="Y471:AG472"/>
    <mergeCell ref="D484:F485"/>
    <mergeCell ref="G484:O485"/>
    <mergeCell ref="P484:P485"/>
    <mergeCell ref="Q484:Q485"/>
    <mergeCell ref="AM499:AQ499"/>
    <mergeCell ref="S501:X502"/>
    <mergeCell ref="Y501:AG502"/>
    <mergeCell ref="AH501:AL502"/>
    <mergeCell ref="AM501:AQ502"/>
    <mergeCell ref="AG486:AJ487"/>
    <mergeCell ref="S484:U485"/>
    <mergeCell ref="V484:AD485"/>
    <mergeCell ref="AE484:AE485"/>
    <mergeCell ref="AF484:AF485"/>
    <mergeCell ref="D509:P510"/>
    <mergeCell ref="S509:AE510"/>
    <mergeCell ref="AH509:AM510"/>
    <mergeCell ref="Y507:AG507"/>
    <mergeCell ref="Q508:Q510"/>
    <mergeCell ref="AK486:AQ487"/>
    <mergeCell ref="AG488:AJ489"/>
    <mergeCell ref="AK488:AQ489"/>
    <mergeCell ref="AF508:AF510"/>
    <mergeCell ref="D505:R506"/>
    <mergeCell ref="S505:X506"/>
    <mergeCell ref="Y505:AG506"/>
    <mergeCell ref="S503:X504"/>
    <mergeCell ref="Y503:AG504"/>
    <mergeCell ref="AG522:AJ523"/>
    <mergeCell ref="AK522:AQ523"/>
    <mergeCell ref="S518:U519"/>
    <mergeCell ref="V518:AD519"/>
    <mergeCell ref="AE518:AE519"/>
    <mergeCell ref="AF518:AF519"/>
    <mergeCell ref="D518:F519"/>
    <mergeCell ref="G518:O519"/>
    <mergeCell ref="P518:P519"/>
    <mergeCell ref="Q518:Q519"/>
    <mergeCell ref="AN518:AO518"/>
    <mergeCell ref="AP518:AQ518"/>
    <mergeCell ref="AU8:AV8"/>
    <mergeCell ref="AX8:AY8"/>
    <mergeCell ref="AU9:AV10"/>
    <mergeCell ref="AX9:AY10"/>
    <mergeCell ref="AW9:AW10"/>
    <mergeCell ref="AG520:AJ521"/>
    <mergeCell ref="AK520:AQ521"/>
    <mergeCell ref="AH503:AL504"/>
    <mergeCell ref="AM503:AQ504"/>
    <mergeCell ref="AH499:AL499"/>
    <mergeCell ref="AH505:AL506"/>
    <mergeCell ref="AP479:AQ479"/>
    <mergeCell ref="AN480:AO480"/>
    <mergeCell ref="AP480:AQ480"/>
    <mergeCell ref="AN478:AO478"/>
    <mergeCell ref="AP478:AQ478"/>
    <mergeCell ref="AH35:AL35"/>
    <mergeCell ref="AG23:AJ24"/>
    <mergeCell ref="AK23:AQ24"/>
    <mergeCell ref="AG25:AJ26"/>
    <mergeCell ref="AK25:AQ26"/>
    <mergeCell ref="AM35:AQ35"/>
    <mergeCell ref="AN21:AO21"/>
    <mergeCell ref="Y43:AG43"/>
    <mergeCell ref="S537:X538"/>
    <mergeCell ref="Y537:AG538"/>
    <mergeCell ref="AH537:AL538"/>
    <mergeCell ref="AM537:AQ538"/>
    <mergeCell ref="AH533:AL533"/>
    <mergeCell ref="AM533:AQ533"/>
    <mergeCell ref="S535:X536"/>
    <mergeCell ref="Y535:AG536"/>
    <mergeCell ref="AH535:AL536"/>
    <mergeCell ref="AM535:AQ536"/>
    <mergeCell ref="AM539:AQ540"/>
    <mergeCell ref="AH539:AL540"/>
    <mergeCell ref="Y541:AG541"/>
    <mergeCell ref="Q542:Q544"/>
    <mergeCell ref="AF542:AF544"/>
    <mergeCell ref="D539:R540"/>
    <mergeCell ref="S539:X540"/>
    <mergeCell ref="Y539:AG540"/>
    <mergeCell ref="D543:P544"/>
    <mergeCell ref="S543:AE544"/>
    <mergeCell ref="AN550:AO550"/>
    <mergeCell ref="AP550:AQ550"/>
    <mergeCell ref="AN551:AO551"/>
    <mergeCell ref="AP551:AQ551"/>
    <mergeCell ref="AN548:AO548"/>
    <mergeCell ref="AP548:AQ548"/>
    <mergeCell ref="AN549:AO549"/>
    <mergeCell ref="AP549:AQ549"/>
    <mergeCell ref="AH543:AM544"/>
    <mergeCell ref="AN546:AO546"/>
    <mergeCell ref="AP546:AQ546"/>
    <mergeCell ref="AN547:AO547"/>
    <mergeCell ref="AP547:AQ547"/>
    <mergeCell ref="AN552:AO552"/>
    <mergeCell ref="AP552:AQ552"/>
    <mergeCell ref="AG554:AJ555"/>
    <mergeCell ref="AK554:AQ555"/>
    <mergeCell ref="S552:U553"/>
    <mergeCell ref="V552:AD553"/>
    <mergeCell ref="AE552:AE553"/>
    <mergeCell ref="AF552:AF553"/>
    <mergeCell ref="D552:F553"/>
    <mergeCell ref="G552:O553"/>
    <mergeCell ref="P552:P553"/>
    <mergeCell ref="Q552:Q553"/>
    <mergeCell ref="S571:X572"/>
    <mergeCell ref="Y571:AG572"/>
    <mergeCell ref="AH571:AL572"/>
    <mergeCell ref="AM571:AQ572"/>
    <mergeCell ref="S569:X570"/>
    <mergeCell ref="Y569:AG570"/>
    <mergeCell ref="AH569:AL570"/>
    <mergeCell ref="AM569:AQ570"/>
    <mergeCell ref="AG556:AJ557"/>
    <mergeCell ref="AK556:AQ557"/>
    <mergeCell ref="AH567:AL567"/>
    <mergeCell ref="AM567:AQ567"/>
    <mergeCell ref="AH577:AM578"/>
    <mergeCell ref="AN580:AO580"/>
    <mergeCell ref="AP580:AQ580"/>
    <mergeCell ref="AN581:AO581"/>
    <mergeCell ref="AP581:AQ581"/>
    <mergeCell ref="AM573:AQ574"/>
    <mergeCell ref="AH573:AL574"/>
    <mergeCell ref="Y575:AG575"/>
    <mergeCell ref="Q576:Q578"/>
    <mergeCell ref="AF576:AF578"/>
    <mergeCell ref="D573:R574"/>
    <mergeCell ref="S573:X574"/>
    <mergeCell ref="Y573:AG574"/>
    <mergeCell ref="D577:P578"/>
    <mergeCell ref="S577:AE578"/>
    <mergeCell ref="D586:F587"/>
    <mergeCell ref="G586:O587"/>
    <mergeCell ref="P586:P587"/>
    <mergeCell ref="Q586:Q587"/>
    <mergeCell ref="AN584:AO584"/>
    <mergeCell ref="AP584:AQ584"/>
    <mergeCell ref="AN585:AO585"/>
    <mergeCell ref="AP585:AQ585"/>
    <mergeCell ref="AN582:AO582"/>
    <mergeCell ref="AP582:AQ582"/>
    <mergeCell ref="AN583:AO583"/>
    <mergeCell ref="AP583:AQ583"/>
    <mergeCell ref="AG590:AJ591"/>
    <mergeCell ref="AK590:AQ591"/>
    <mergeCell ref="AN586:AO586"/>
    <mergeCell ref="AP586:AQ586"/>
    <mergeCell ref="AG588:AJ589"/>
    <mergeCell ref="AK588:AQ589"/>
    <mergeCell ref="S586:U587"/>
    <mergeCell ref="V586:AD587"/>
    <mergeCell ref="AE586:AE587"/>
    <mergeCell ref="AF586:AF587"/>
  </mergeCells>
  <phoneticPr fontId="27" type="noConversion"/>
  <pageMargins left="0" right="0" top="0" bottom="0" header="0.51181102362204722" footer="0.51181102362204722"/>
  <pageSetup paperSize="11" scale="96" fitToHeight="0" orientation="landscape" horizontalDpi="1200" verticalDpi="1200" r:id="rId1"/>
  <headerFooter alignWithMargins="0"/>
  <rowBreaks count="7" manualBreakCount="7">
    <brk id="33" max="16383" man="1"/>
    <brk id="66" max="16383" man="1"/>
    <brk id="99" max="16383" man="1"/>
    <brk id="463" max="16383" man="1"/>
    <brk id="497" max="16383" man="1"/>
    <brk id="531" max="16383" man="1"/>
    <brk id="565" max="16383" man="1"/>
  </rowBreaks>
  <colBreaks count="1" manualBreakCount="1">
    <brk id="44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3:I44"/>
  <sheetViews>
    <sheetView zoomScaleNormal="100" workbookViewId="0">
      <selection activeCell="A24" sqref="A24:I24"/>
    </sheetView>
  </sheetViews>
  <sheetFormatPr baseColWidth="10" defaultRowHeight="12.75" x14ac:dyDescent="0.2"/>
  <cols>
    <col min="4" max="4" width="9.42578125" customWidth="1"/>
    <col min="5" max="5" width="6.42578125" customWidth="1"/>
    <col min="6" max="6" width="17" customWidth="1"/>
    <col min="7" max="7" width="5.85546875" customWidth="1"/>
  </cols>
  <sheetData>
    <row r="13" spans="4:4" ht="12.75" customHeight="1" x14ac:dyDescent="1.45">
      <c r="D13" s="47"/>
    </row>
    <row r="17" spans="1:9" ht="37.5" x14ac:dyDescent="0.5">
      <c r="A17" s="454" t="s">
        <v>43</v>
      </c>
      <c r="B17" s="454"/>
      <c r="C17" s="454"/>
      <c r="D17" s="454"/>
      <c r="E17" s="454"/>
      <c r="F17" s="454"/>
      <c r="G17" s="454"/>
      <c r="H17" s="454"/>
      <c r="I17" s="455"/>
    </row>
    <row r="18" spans="1:9" ht="4.5" customHeight="1" x14ac:dyDescent="0.2"/>
    <row r="19" spans="1:9" ht="37.5" x14ac:dyDescent="0.5">
      <c r="A19" s="454">
        <f>Platzierung!U4</f>
        <v>0</v>
      </c>
      <c r="B19" s="454"/>
      <c r="C19" s="454"/>
      <c r="D19" s="454"/>
      <c r="E19" s="454"/>
      <c r="F19" s="454"/>
      <c r="G19" s="454"/>
      <c r="H19" s="454"/>
      <c r="I19" s="455"/>
    </row>
    <row r="20" spans="1:9" ht="4.5" customHeight="1" x14ac:dyDescent="0.2"/>
    <row r="21" spans="1:9" ht="34.5" x14ac:dyDescent="0.45">
      <c r="A21" s="456">
        <f>Platzierung!U6</f>
        <v>0</v>
      </c>
      <c r="B21" s="456"/>
      <c r="C21" s="456"/>
      <c r="D21" s="456"/>
      <c r="E21" s="456"/>
      <c r="F21" s="456"/>
      <c r="G21" s="456"/>
      <c r="H21" s="456"/>
      <c r="I21" s="457"/>
    </row>
    <row r="24" spans="1:9" ht="33" x14ac:dyDescent="0.45">
      <c r="A24" s="459" t="s">
        <v>29</v>
      </c>
      <c r="B24" s="459"/>
      <c r="C24" s="459"/>
      <c r="D24" s="459"/>
      <c r="E24" s="459"/>
      <c r="F24" s="459"/>
      <c r="G24" s="459"/>
      <c r="H24" s="459"/>
      <c r="I24" s="460"/>
    </row>
    <row r="26" spans="1:9" ht="33" x14ac:dyDescent="0.45">
      <c r="A26" s="463" t="e">
        <f>Platzierung!B16</f>
        <v>#N/A</v>
      </c>
      <c r="B26" s="463"/>
      <c r="C26" s="463"/>
      <c r="D26" s="463"/>
      <c r="E26" s="463"/>
      <c r="F26" s="463"/>
      <c r="G26" s="463"/>
      <c r="H26" s="463"/>
      <c r="I26" s="464"/>
    </row>
    <row r="28" spans="1:9" s="49" customFormat="1" ht="33" x14ac:dyDescent="0.45">
      <c r="C28" s="50"/>
      <c r="D28" s="50"/>
      <c r="E28" s="48" t="s">
        <v>30</v>
      </c>
      <c r="F28" s="51"/>
    </row>
    <row r="30" spans="1:9" s="49" customFormat="1" ht="33" x14ac:dyDescent="0.45">
      <c r="A30" s="461">
        <f>Platzierung!U5</f>
        <v>0</v>
      </c>
      <c r="B30" s="461"/>
      <c r="C30" s="461"/>
      <c r="D30" s="461"/>
      <c r="E30" s="461"/>
      <c r="F30" s="461"/>
      <c r="G30" s="461"/>
      <c r="H30" s="461"/>
      <c r="I30" s="462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Platzierung!T32</f>
        <v>0</v>
      </c>
      <c r="E33" s="60" t="s">
        <v>41</v>
      </c>
      <c r="F33" s="57">
        <f>Platzierung!U32</f>
        <v>0</v>
      </c>
    </row>
    <row r="34" spans="1:9" ht="18.75" x14ac:dyDescent="0.3">
      <c r="A34" s="55"/>
    </row>
    <row r="37" spans="1:9" x14ac:dyDescent="0.2">
      <c r="D37" s="67"/>
      <c r="E37" s="117" t="s">
        <v>88</v>
      </c>
      <c r="F37" s="67"/>
    </row>
    <row r="38" spans="1:9" ht="18.75" x14ac:dyDescent="0.3">
      <c r="A38" s="55"/>
      <c r="E38" s="58" t="s">
        <v>42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8" t="s">
        <v>32</v>
      </c>
      <c r="B42" s="458"/>
      <c r="C42" s="458"/>
      <c r="D42" s="458"/>
      <c r="E42" s="458"/>
      <c r="F42" s="458"/>
      <c r="G42" s="458"/>
      <c r="H42" s="458"/>
      <c r="I42" s="294"/>
    </row>
    <row r="43" spans="1:9" ht="23.25" x14ac:dyDescent="0.35">
      <c r="A43" s="458" t="s">
        <v>33</v>
      </c>
      <c r="B43" s="458"/>
      <c r="C43" s="458"/>
      <c r="D43" s="458"/>
      <c r="E43" s="458"/>
      <c r="F43" s="458"/>
      <c r="G43" s="458"/>
      <c r="H43" s="458"/>
      <c r="I43" s="294"/>
    </row>
    <row r="44" spans="1:9" ht="23.25" x14ac:dyDescent="0.35">
      <c r="A44" s="458" t="s">
        <v>34</v>
      </c>
      <c r="B44" s="458"/>
      <c r="C44" s="458"/>
      <c r="D44" s="458"/>
      <c r="E44" s="458"/>
      <c r="F44" s="458"/>
      <c r="G44" s="458"/>
      <c r="H44" s="458"/>
      <c r="I44" s="294"/>
    </row>
  </sheetData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3:I44"/>
  <sheetViews>
    <sheetView zoomScaleNormal="100" workbookViewId="0">
      <selection activeCell="D1" sqref="D1"/>
    </sheetView>
  </sheetViews>
  <sheetFormatPr baseColWidth="10" defaultRowHeight="12.75" x14ac:dyDescent="0.2"/>
  <cols>
    <col min="4" max="4" width="9.7109375" customWidth="1"/>
    <col min="5" max="5" width="6.5703125" customWidth="1"/>
    <col min="6" max="6" width="17" customWidth="1"/>
    <col min="7" max="7" width="5.7109375" customWidth="1"/>
  </cols>
  <sheetData>
    <row r="13" spans="4:4" ht="12.75" customHeight="1" x14ac:dyDescent="1.45">
      <c r="D13" s="47"/>
    </row>
    <row r="17" spans="1:9" ht="37.5" x14ac:dyDescent="0.5">
      <c r="A17" s="454" t="s">
        <v>43</v>
      </c>
      <c r="B17" s="454"/>
      <c r="C17" s="454"/>
      <c r="D17" s="454"/>
      <c r="E17" s="454"/>
      <c r="F17" s="454"/>
      <c r="G17" s="454"/>
      <c r="H17" s="454"/>
      <c r="I17" s="455"/>
    </row>
    <row r="18" spans="1:9" ht="4.5" customHeight="1" x14ac:dyDescent="0.2"/>
    <row r="19" spans="1:9" ht="37.5" x14ac:dyDescent="0.5">
      <c r="A19" s="454">
        <f>Platzierung!U4</f>
        <v>0</v>
      </c>
      <c r="B19" s="454"/>
      <c r="C19" s="454"/>
      <c r="D19" s="454"/>
      <c r="E19" s="454"/>
      <c r="F19" s="454"/>
      <c r="G19" s="454"/>
      <c r="H19" s="454"/>
      <c r="I19" s="455"/>
    </row>
    <row r="20" spans="1:9" ht="4.5" customHeight="1" x14ac:dyDescent="0.2"/>
    <row r="21" spans="1:9" ht="34.5" x14ac:dyDescent="0.45">
      <c r="A21" s="456">
        <f>Platzierung!U6</f>
        <v>0</v>
      </c>
      <c r="B21" s="456"/>
      <c r="C21" s="456"/>
      <c r="D21" s="456"/>
      <c r="E21" s="456"/>
      <c r="F21" s="456"/>
      <c r="G21" s="456"/>
      <c r="H21" s="456"/>
      <c r="I21" s="457"/>
    </row>
    <row r="24" spans="1:9" ht="33" x14ac:dyDescent="0.45">
      <c r="A24" s="459" t="s">
        <v>29</v>
      </c>
      <c r="B24" s="459"/>
      <c r="C24" s="459"/>
      <c r="D24" s="459"/>
      <c r="E24" s="459"/>
      <c r="F24" s="459"/>
      <c r="G24" s="459"/>
      <c r="H24" s="459"/>
      <c r="I24" s="460"/>
    </row>
    <row r="26" spans="1:9" ht="33" x14ac:dyDescent="0.45">
      <c r="A26" s="463" t="e">
        <f>Platzierung!B17</f>
        <v>#N/A</v>
      </c>
      <c r="B26" s="463"/>
      <c r="C26" s="463"/>
      <c r="D26" s="463"/>
      <c r="E26" s="463"/>
      <c r="F26" s="463"/>
      <c r="G26" s="463"/>
      <c r="H26" s="463"/>
      <c r="I26" s="464"/>
    </row>
    <row r="28" spans="1:9" s="49" customFormat="1" ht="33" x14ac:dyDescent="0.45">
      <c r="C28" s="50"/>
      <c r="D28" s="50"/>
      <c r="E28" s="48" t="s">
        <v>30</v>
      </c>
      <c r="F28" s="51"/>
    </row>
    <row r="30" spans="1:9" s="49" customFormat="1" ht="33" x14ac:dyDescent="0.45">
      <c r="A30" s="461" t="s">
        <v>127</v>
      </c>
      <c r="B30" s="461"/>
      <c r="C30" s="461"/>
      <c r="D30" s="461"/>
      <c r="E30" s="461"/>
      <c r="F30" s="461"/>
      <c r="G30" s="461"/>
      <c r="H30" s="461"/>
      <c r="I30" s="462"/>
    </row>
    <row r="31" spans="1:9" s="54" customFormat="1" ht="33" x14ac:dyDescent="0.45">
      <c r="A31" s="461">
        <f>Platzierung!U5</f>
        <v>0</v>
      </c>
      <c r="B31" s="461"/>
      <c r="C31" s="461"/>
      <c r="D31" s="461"/>
      <c r="E31" s="461"/>
      <c r="F31" s="461"/>
      <c r="G31" s="461"/>
      <c r="H31" s="461"/>
      <c r="I31" s="462"/>
    </row>
    <row r="33" spans="1:9" ht="18.75" x14ac:dyDescent="0.3">
      <c r="A33" s="55"/>
      <c r="D33" s="56">
        <f>Platzierung!T32</f>
        <v>0</v>
      </c>
      <c r="E33" s="60" t="s">
        <v>41</v>
      </c>
      <c r="F33" s="57">
        <f>Platzierung!U32</f>
        <v>0</v>
      </c>
    </row>
    <row r="34" spans="1:9" ht="18.75" x14ac:dyDescent="0.3">
      <c r="A34" s="55"/>
    </row>
    <row r="37" spans="1:9" x14ac:dyDescent="0.2">
      <c r="D37" s="67"/>
      <c r="E37" s="117" t="s">
        <v>88</v>
      </c>
      <c r="F37" s="67"/>
    </row>
    <row r="38" spans="1:9" ht="18.75" x14ac:dyDescent="0.3">
      <c r="A38" s="55"/>
      <c r="E38" s="58" t="s">
        <v>42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8" t="s">
        <v>32</v>
      </c>
      <c r="B42" s="458"/>
      <c r="C42" s="458"/>
      <c r="D42" s="458"/>
      <c r="E42" s="458"/>
      <c r="F42" s="458"/>
      <c r="G42" s="458"/>
      <c r="H42" s="458"/>
      <c r="I42" s="294"/>
    </row>
    <row r="43" spans="1:9" ht="23.25" x14ac:dyDescent="0.35">
      <c r="A43" s="458" t="s">
        <v>33</v>
      </c>
      <c r="B43" s="458"/>
      <c r="C43" s="458"/>
      <c r="D43" s="458"/>
      <c r="E43" s="458"/>
      <c r="F43" s="458"/>
      <c r="G43" s="458"/>
      <c r="H43" s="458"/>
      <c r="I43" s="294"/>
    </row>
    <row r="44" spans="1:9" ht="23.25" x14ac:dyDescent="0.35">
      <c r="A44" s="458" t="s">
        <v>34</v>
      </c>
      <c r="B44" s="458"/>
      <c r="C44" s="458"/>
      <c r="D44" s="458"/>
      <c r="E44" s="458"/>
      <c r="F44" s="458"/>
      <c r="G44" s="458"/>
      <c r="H44" s="458"/>
      <c r="I44" s="294"/>
    </row>
  </sheetData>
  <mergeCells count="10">
    <mergeCell ref="A19:I19"/>
    <mergeCell ref="A21:I21"/>
    <mergeCell ref="A17:I17"/>
    <mergeCell ref="A44:I44"/>
    <mergeCell ref="A24:I24"/>
    <mergeCell ref="A31:I31"/>
    <mergeCell ref="A26:I26"/>
    <mergeCell ref="A42:I42"/>
    <mergeCell ref="A43:I43"/>
    <mergeCell ref="A30:I30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3:I44"/>
  <sheetViews>
    <sheetView zoomScaleNormal="100" workbookViewId="0">
      <selection activeCell="D1" sqref="D1"/>
    </sheetView>
  </sheetViews>
  <sheetFormatPr baseColWidth="10" defaultRowHeight="12.75" x14ac:dyDescent="0.2"/>
  <cols>
    <col min="4" max="4" width="9.28515625" customWidth="1"/>
    <col min="5" max="5" width="6.28515625" customWidth="1"/>
    <col min="6" max="6" width="17.140625" customWidth="1"/>
    <col min="7" max="7" width="6.28515625" customWidth="1"/>
  </cols>
  <sheetData>
    <row r="13" spans="4:4" ht="12.75" customHeight="1" x14ac:dyDescent="1.45">
      <c r="D13" s="47"/>
    </row>
    <row r="17" spans="1:9" ht="37.5" x14ac:dyDescent="0.5">
      <c r="A17" s="454" t="s">
        <v>43</v>
      </c>
      <c r="B17" s="454"/>
      <c r="C17" s="454"/>
      <c r="D17" s="454"/>
      <c r="E17" s="454"/>
      <c r="F17" s="454"/>
      <c r="G17" s="454"/>
      <c r="H17" s="454"/>
      <c r="I17" s="455"/>
    </row>
    <row r="18" spans="1:9" ht="4.5" customHeight="1" x14ac:dyDescent="0.2"/>
    <row r="19" spans="1:9" ht="37.5" x14ac:dyDescent="0.5">
      <c r="A19" s="454">
        <f>Platzierung!U4</f>
        <v>0</v>
      </c>
      <c r="B19" s="454"/>
      <c r="C19" s="454"/>
      <c r="D19" s="454"/>
      <c r="E19" s="454"/>
      <c r="F19" s="454"/>
      <c r="G19" s="454"/>
      <c r="H19" s="454"/>
      <c r="I19" s="455"/>
    </row>
    <row r="20" spans="1:9" ht="4.5" customHeight="1" x14ac:dyDescent="0.2"/>
    <row r="21" spans="1:9" ht="34.5" x14ac:dyDescent="0.45">
      <c r="A21" s="456">
        <f>Platzierung!U6</f>
        <v>0</v>
      </c>
      <c r="B21" s="456"/>
      <c r="C21" s="456"/>
      <c r="D21" s="456"/>
      <c r="E21" s="456"/>
      <c r="F21" s="456"/>
      <c r="G21" s="456"/>
      <c r="H21" s="456"/>
      <c r="I21" s="457"/>
    </row>
    <row r="24" spans="1:9" ht="33" x14ac:dyDescent="0.45">
      <c r="A24" s="459" t="s">
        <v>29</v>
      </c>
      <c r="B24" s="459"/>
      <c r="C24" s="459"/>
      <c r="D24" s="459"/>
      <c r="E24" s="459"/>
      <c r="F24" s="459"/>
      <c r="G24" s="459"/>
      <c r="H24" s="459"/>
      <c r="I24" s="460"/>
    </row>
    <row r="26" spans="1:9" ht="33" x14ac:dyDescent="0.45">
      <c r="A26" s="463" t="e">
        <f>Platzierung!B18</f>
        <v>#N/A</v>
      </c>
      <c r="B26" s="463"/>
      <c r="C26" s="463"/>
      <c r="D26" s="463"/>
      <c r="E26" s="463"/>
      <c r="F26" s="463"/>
      <c r="G26" s="463"/>
      <c r="H26" s="463"/>
      <c r="I26" s="464"/>
    </row>
    <row r="28" spans="1:9" s="49" customFormat="1" ht="33" x14ac:dyDescent="0.45">
      <c r="C28" s="50"/>
      <c r="D28" s="50"/>
      <c r="E28" s="48" t="s">
        <v>35</v>
      </c>
      <c r="F28" s="51"/>
    </row>
    <row r="30" spans="1:9" s="49" customFormat="1" ht="33" x14ac:dyDescent="0.45">
      <c r="A30" s="461" t="s">
        <v>36</v>
      </c>
      <c r="B30" s="461"/>
      <c r="C30" s="461"/>
      <c r="D30" s="461"/>
      <c r="E30" s="461"/>
      <c r="F30" s="461"/>
      <c r="G30" s="461"/>
      <c r="H30" s="461"/>
      <c r="I30" s="462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Platzierung!T32</f>
        <v>0</v>
      </c>
      <c r="E33" s="60" t="s">
        <v>41</v>
      </c>
      <c r="F33" s="57">
        <f>Platzierung!U32</f>
        <v>0</v>
      </c>
    </row>
    <row r="34" spans="1:9" ht="18.75" x14ac:dyDescent="0.3">
      <c r="A34" s="55"/>
    </row>
    <row r="37" spans="1:9" x14ac:dyDescent="0.2">
      <c r="D37" s="67"/>
      <c r="E37" s="117" t="s">
        <v>88</v>
      </c>
      <c r="F37" s="67"/>
    </row>
    <row r="38" spans="1:9" ht="18.75" x14ac:dyDescent="0.3">
      <c r="A38" s="55"/>
      <c r="E38" s="58" t="s">
        <v>42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8" t="s">
        <v>32</v>
      </c>
      <c r="B42" s="458"/>
      <c r="C42" s="458"/>
      <c r="D42" s="458"/>
      <c r="E42" s="458"/>
      <c r="F42" s="458"/>
      <c r="G42" s="458"/>
      <c r="H42" s="458"/>
      <c r="I42" s="294"/>
    </row>
    <row r="43" spans="1:9" ht="23.25" x14ac:dyDescent="0.35">
      <c r="A43" s="458" t="s">
        <v>33</v>
      </c>
      <c r="B43" s="458"/>
      <c r="C43" s="458"/>
      <c r="D43" s="458"/>
      <c r="E43" s="458"/>
      <c r="F43" s="458"/>
      <c r="G43" s="458"/>
      <c r="H43" s="458"/>
      <c r="I43" s="294"/>
    </row>
    <row r="44" spans="1:9" ht="23.25" x14ac:dyDescent="0.35">
      <c r="A44" s="458" t="s">
        <v>34</v>
      </c>
      <c r="B44" s="458"/>
      <c r="C44" s="458"/>
      <c r="D44" s="458"/>
      <c r="E44" s="458"/>
      <c r="F44" s="458"/>
      <c r="G44" s="458"/>
      <c r="H44" s="458"/>
      <c r="I44" s="294"/>
    </row>
  </sheetData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3:I44"/>
  <sheetViews>
    <sheetView zoomScaleNormal="100" workbookViewId="0">
      <selection activeCell="D1" sqref="D1"/>
    </sheetView>
  </sheetViews>
  <sheetFormatPr baseColWidth="10" defaultRowHeight="12.75" x14ac:dyDescent="0.2"/>
  <cols>
    <col min="4" max="4" width="9.85546875" customWidth="1"/>
    <col min="5" max="5" width="6.28515625" customWidth="1"/>
    <col min="6" max="6" width="17.42578125" customWidth="1"/>
    <col min="7" max="7" width="5.85546875" customWidth="1"/>
  </cols>
  <sheetData>
    <row r="13" spans="4:4" ht="12.75" customHeight="1" x14ac:dyDescent="1.45">
      <c r="D13" s="47"/>
    </row>
    <row r="17" spans="1:9" ht="37.5" x14ac:dyDescent="0.5">
      <c r="A17" s="454" t="s">
        <v>43</v>
      </c>
      <c r="B17" s="454"/>
      <c r="C17" s="454"/>
      <c r="D17" s="454"/>
      <c r="E17" s="454"/>
      <c r="F17" s="454"/>
      <c r="G17" s="454"/>
      <c r="H17" s="454"/>
      <c r="I17" s="455"/>
    </row>
    <row r="18" spans="1:9" ht="4.5" customHeight="1" x14ac:dyDescent="0.2"/>
    <row r="19" spans="1:9" ht="37.5" x14ac:dyDescent="0.5">
      <c r="A19" s="454">
        <f>Platzierung!U4</f>
        <v>0</v>
      </c>
      <c r="B19" s="454"/>
      <c r="C19" s="454"/>
      <c r="D19" s="454"/>
      <c r="E19" s="454"/>
      <c r="F19" s="454"/>
      <c r="G19" s="454"/>
      <c r="H19" s="454"/>
      <c r="I19" s="455"/>
    </row>
    <row r="20" spans="1:9" ht="4.5" customHeight="1" x14ac:dyDescent="0.2"/>
    <row r="21" spans="1:9" ht="34.5" x14ac:dyDescent="0.45">
      <c r="A21" s="456">
        <f>Platzierung!U6</f>
        <v>0</v>
      </c>
      <c r="B21" s="456"/>
      <c r="C21" s="456"/>
      <c r="D21" s="456"/>
      <c r="E21" s="456"/>
      <c r="F21" s="456"/>
      <c r="G21" s="456"/>
      <c r="H21" s="456"/>
      <c r="I21" s="457"/>
    </row>
    <row r="24" spans="1:9" ht="33" x14ac:dyDescent="0.45">
      <c r="A24" s="459" t="s">
        <v>29</v>
      </c>
      <c r="B24" s="459"/>
      <c r="C24" s="459"/>
      <c r="D24" s="459"/>
      <c r="E24" s="459"/>
      <c r="F24" s="459"/>
      <c r="G24" s="459"/>
      <c r="H24" s="459"/>
      <c r="I24" s="460"/>
    </row>
    <row r="26" spans="1:9" ht="33" x14ac:dyDescent="0.45">
      <c r="A26" s="463" t="e">
        <f>Platzierung!B19</f>
        <v>#N/A</v>
      </c>
      <c r="B26" s="463"/>
      <c r="C26" s="463"/>
      <c r="D26" s="463"/>
      <c r="E26" s="463"/>
      <c r="F26" s="463"/>
      <c r="G26" s="463"/>
      <c r="H26" s="463"/>
      <c r="I26" s="464"/>
    </row>
    <row r="28" spans="1:9" s="49" customFormat="1" ht="33" x14ac:dyDescent="0.45">
      <c r="C28" s="50"/>
      <c r="D28" s="50"/>
      <c r="E28" s="48" t="s">
        <v>35</v>
      </c>
      <c r="F28" s="51"/>
    </row>
    <row r="30" spans="1:9" s="49" customFormat="1" ht="33" x14ac:dyDescent="0.45">
      <c r="A30" s="461" t="s">
        <v>37</v>
      </c>
      <c r="B30" s="461"/>
      <c r="C30" s="461"/>
      <c r="D30" s="461"/>
      <c r="E30" s="461"/>
      <c r="F30" s="461"/>
      <c r="G30" s="461"/>
      <c r="H30" s="461"/>
      <c r="I30" s="462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Platzierung!T32</f>
        <v>0</v>
      </c>
      <c r="E33" s="60" t="s">
        <v>41</v>
      </c>
      <c r="F33" s="57">
        <f>Platzierung!U32</f>
        <v>0</v>
      </c>
    </row>
    <row r="34" spans="1:9" ht="18.75" x14ac:dyDescent="0.3">
      <c r="A34" s="55"/>
    </row>
    <row r="37" spans="1:9" x14ac:dyDescent="0.2">
      <c r="D37" s="67"/>
      <c r="E37" s="117" t="s">
        <v>88</v>
      </c>
      <c r="F37" s="67"/>
    </row>
    <row r="38" spans="1:9" ht="18.75" x14ac:dyDescent="0.3">
      <c r="A38" s="55"/>
      <c r="E38" s="58" t="s">
        <v>42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8" t="s">
        <v>32</v>
      </c>
      <c r="B42" s="458"/>
      <c r="C42" s="458"/>
      <c r="D42" s="458"/>
      <c r="E42" s="458"/>
      <c r="F42" s="458"/>
      <c r="G42" s="458"/>
      <c r="H42" s="458"/>
      <c r="I42" s="294"/>
    </row>
    <row r="43" spans="1:9" ht="23.25" x14ac:dyDescent="0.35">
      <c r="A43" s="458" t="s">
        <v>33</v>
      </c>
      <c r="B43" s="458"/>
      <c r="C43" s="458"/>
      <c r="D43" s="458"/>
      <c r="E43" s="458"/>
      <c r="F43" s="458"/>
      <c r="G43" s="458"/>
      <c r="H43" s="458"/>
      <c r="I43" s="294"/>
    </row>
    <row r="44" spans="1:9" ht="23.25" x14ac:dyDescent="0.35">
      <c r="A44" s="458" t="s">
        <v>34</v>
      </c>
      <c r="B44" s="458"/>
      <c r="C44" s="458"/>
      <c r="D44" s="458"/>
      <c r="E44" s="458"/>
      <c r="F44" s="458"/>
      <c r="G44" s="458"/>
      <c r="H44" s="458"/>
      <c r="I44" s="294"/>
    </row>
  </sheetData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3:I44"/>
  <sheetViews>
    <sheetView zoomScaleNormal="100" workbookViewId="0">
      <selection activeCell="D1" sqref="D1"/>
    </sheetView>
  </sheetViews>
  <sheetFormatPr baseColWidth="10" defaultRowHeight="12.75" x14ac:dyDescent="0.2"/>
  <cols>
    <col min="4" max="4" width="9.42578125" customWidth="1"/>
    <col min="5" max="5" width="6.42578125" customWidth="1"/>
    <col min="6" max="6" width="17" customWidth="1"/>
    <col min="7" max="7" width="5.5703125" customWidth="1"/>
  </cols>
  <sheetData>
    <row r="13" spans="4:4" ht="12.75" customHeight="1" x14ac:dyDescent="1.45">
      <c r="D13" s="47"/>
    </row>
    <row r="17" spans="1:9" ht="37.5" x14ac:dyDescent="0.5">
      <c r="A17" s="454" t="s">
        <v>43</v>
      </c>
      <c r="B17" s="454"/>
      <c r="C17" s="454"/>
      <c r="D17" s="454"/>
      <c r="E17" s="454"/>
      <c r="F17" s="454"/>
      <c r="G17" s="454"/>
      <c r="H17" s="454"/>
      <c r="I17" s="455"/>
    </row>
    <row r="18" spans="1:9" ht="4.5" customHeight="1" x14ac:dyDescent="0.2"/>
    <row r="19" spans="1:9" ht="37.5" x14ac:dyDescent="0.5">
      <c r="A19" s="454">
        <f>Platzierung!U4</f>
        <v>0</v>
      </c>
      <c r="B19" s="454"/>
      <c r="C19" s="454"/>
      <c r="D19" s="454"/>
      <c r="E19" s="454"/>
      <c r="F19" s="454"/>
      <c r="G19" s="454"/>
      <c r="H19" s="454"/>
      <c r="I19" s="455"/>
    </row>
    <row r="20" spans="1:9" ht="4.5" customHeight="1" x14ac:dyDescent="0.2"/>
    <row r="21" spans="1:9" ht="34.5" x14ac:dyDescent="0.45">
      <c r="A21" s="456">
        <f>Platzierung!U6</f>
        <v>0</v>
      </c>
      <c r="B21" s="456"/>
      <c r="C21" s="456"/>
      <c r="D21" s="456"/>
      <c r="E21" s="456"/>
      <c r="F21" s="456"/>
      <c r="G21" s="456"/>
      <c r="H21" s="456"/>
      <c r="I21" s="457"/>
    </row>
    <row r="24" spans="1:9" ht="33" x14ac:dyDescent="0.45">
      <c r="A24" s="459" t="s">
        <v>29</v>
      </c>
      <c r="B24" s="459"/>
      <c r="C24" s="459"/>
      <c r="D24" s="459"/>
      <c r="E24" s="459"/>
      <c r="F24" s="459"/>
      <c r="G24" s="459"/>
      <c r="H24" s="459"/>
      <c r="I24" s="460"/>
    </row>
    <row r="26" spans="1:9" ht="33" x14ac:dyDescent="0.45">
      <c r="A26" s="463" t="e">
        <f>Platzierung!B20</f>
        <v>#N/A</v>
      </c>
      <c r="B26" s="463"/>
      <c r="C26" s="463"/>
      <c r="D26" s="463"/>
      <c r="E26" s="463"/>
      <c r="F26" s="463"/>
      <c r="G26" s="463"/>
      <c r="H26" s="463"/>
      <c r="I26" s="464"/>
    </row>
    <row r="28" spans="1:9" s="49" customFormat="1" ht="33" x14ac:dyDescent="0.45">
      <c r="C28" s="50"/>
      <c r="D28" s="50"/>
      <c r="E28" s="48" t="s">
        <v>35</v>
      </c>
      <c r="F28" s="51"/>
    </row>
    <row r="30" spans="1:9" s="49" customFormat="1" ht="33" x14ac:dyDescent="0.45">
      <c r="A30" s="461" t="s">
        <v>38</v>
      </c>
      <c r="B30" s="461"/>
      <c r="C30" s="461"/>
      <c r="D30" s="461"/>
      <c r="E30" s="461"/>
      <c r="F30" s="461"/>
      <c r="G30" s="461"/>
      <c r="H30" s="461"/>
      <c r="I30" s="462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Platzierung!T32</f>
        <v>0</v>
      </c>
      <c r="E33" s="60" t="s">
        <v>41</v>
      </c>
      <c r="F33" s="57">
        <f>Platzierung!U32</f>
        <v>0</v>
      </c>
    </row>
    <row r="34" spans="1:9" ht="18.75" x14ac:dyDescent="0.3">
      <c r="A34" s="55"/>
    </row>
    <row r="37" spans="1:9" x14ac:dyDescent="0.2">
      <c r="D37" s="67"/>
      <c r="E37" s="117" t="s">
        <v>88</v>
      </c>
      <c r="F37" s="67"/>
    </row>
    <row r="38" spans="1:9" ht="18.75" x14ac:dyDescent="0.3">
      <c r="A38" s="55"/>
      <c r="E38" s="58" t="s">
        <v>42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8" t="s">
        <v>32</v>
      </c>
      <c r="B42" s="458"/>
      <c r="C42" s="458"/>
      <c r="D42" s="458"/>
      <c r="E42" s="458"/>
      <c r="F42" s="458"/>
      <c r="G42" s="458"/>
      <c r="H42" s="458"/>
      <c r="I42" s="294"/>
    </row>
    <row r="43" spans="1:9" ht="23.25" x14ac:dyDescent="0.35">
      <c r="A43" s="458" t="s">
        <v>33</v>
      </c>
      <c r="B43" s="458"/>
      <c r="C43" s="458"/>
      <c r="D43" s="458"/>
      <c r="E43" s="458"/>
      <c r="F43" s="458"/>
      <c r="G43" s="458"/>
      <c r="H43" s="458"/>
      <c r="I43" s="294"/>
    </row>
    <row r="44" spans="1:9" ht="23.25" x14ac:dyDescent="0.35">
      <c r="A44" s="458" t="s">
        <v>34</v>
      </c>
      <c r="B44" s="458"/>
      <c r="C44" s="458"/>
      <c r="D44" s="458"/>
      <c r="E44" s="458"/>
      <c r="F44" s="458"/>
      <c r="G44" s="458"/>
      <c r="H44" s="458"/>
      <c r="I44" s="294"/>
    </row>
  </sheetData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3:I44"/>
  <sheetViews>
    <sheetView zoomScaleNormal="100" workbookViewId="0">
      <selection activeCell="D1" sqref="D1"/>
    </sheetView>
  </sheetViews>
  <sheetFormatPr baseColWidth="10" defaultRowHeight="12.75" x14ac:dyDescent="0.2"/>
  <cols>
    <col min="4" max="4" width="9.42578125" customWidth="1"/>
    <col min="5" max="5" width="6.5703125" customWidth="1"/>
    <col min="6" max="6" width="17.28515625" customWidth="1"/>
    <col min="7" max="7" width="6.140625" customWidth="1"/>
  </cols>
  <sheetData>
    <row r="13" spans="4:4" ht="12.75" customHeight="1" x14ac:dyDescent="1.45">
      <c r="D13" s="47"/>
    </row>
    <row r="17" spans="1:9" ht="37.5" x14ac:dyDescent="0.5">
      <c r="A17" s="454" t="s">
        <v>43</v>
      </c>
      <c r="B17" s="454"/>
      <c r="C17" s="454"/>
      <c r="D17" s="454"/>
      <c r="E17" s="454"/>
      <c r="F17" s="454"/>
      <c r="G17" s="454"/>
      <c r="H17" s="454"/>
      <c r="I17" s="455"/>
    </row>
    <row r="18" spans="1:9" ht="4.5" customHeight="1" x14ac:dyDescent="0.2"/>
    <row r="19" spans="1:9" ht="37.5" x14ac:dyDescent="0.5">
      <c r="A19" s="454">
        <f>Platzierung!U4</f>
        <v>0</v>
      </c>
      <c r="B19" s="454"/>
      <c r="C19" s="454"/>
      <c r="D19" s="454"/>
      <c r="E19" s="454"/>
      <c r="F19" s="454"/>
      <c r="G19" s="454"/>
      <c r="H19" s="454"/>
      <c r="I19" s="455"/>
    </row>
    <row r="20" spans="1:9" ht="4.5" customHeight="1" x14ac:dyDescent="0.2"/>
    <row r="21" spans="1:9" ht="34.5" x14ac:dyDescent="0.45">
      <c r="A21" s="456">
        <f>Platzierung!U6</f>
        <v>0</v>
      </c>
      <c r="B21" s="456"/>
      <c r="C21" s="456"/>
      <c r="D21" s="456"/>
      <c r="E21" s="456"/>
      <c r="F21" s="456"/>
      <c r="G21" s="456"/>
      <c r="H21" s="456"/>
      <c r="I21" s="457"/>
    </row>
    <row r="24" spans="1:9" ht="33" x14ac:dyDescent="0.45">
      <c r="A24" s="459" t="s">
        <v>29</v>
      </c>
      <c r="B24" s="459"/>
      <c r="C24" s="459"/>
      <c r="D24" s="459"/>
      <c r="E24" s="459"/>
      <c r="F24" s="459"/>
      <c r="G24" s="459"/>
      <c r="H24" s="459"/>
      <c r="I24" s="460"/>
    </row>
    <row r="26" spans="1:9" ht="33" x14ac:dyDescent="0.45">
      <c r="A26" s="463" t="e">
        <f>Platzierung!B21</f>
        <v>#N/A</v>
      </c>
      <c r="B26" s="463"/>
      <c r="C26" s="463"/>
      <c r="D26" s="463"/>
      <c r="E26" s="463"/>
      <c r="F26" s="463"/>
      <c r="G26" s="463"/>
      <c r="H26" s="463"/>
      <c r="I26" s="464"/>
    </row>
    <row r="28" spans="1:9" s="49" customFormat="1" ht="33" x14ac:dyDescent="0.45">
      <c r="C28" s="50"/>
      <c r="D28" s="50"/>
      <c r="E28" s="48" t="s">
        <v>35</v>
      </c>
      <c r="F28" s="51"/>
    </row>
    <row r="30" spans="1:9" s="49" customFormat="1" ht="33" x14ac:dyDescent="0.45">
      <c r="A30" s="461" t="s">
        <v>39</v>
      </c>
      <c r="B30" s="461"/>
      <c r="C30" s="461"/>
      <c r="D30" s="461"/>
      <c r="E30" s="461"/>
      <c r="F30" s="461"/>
      <c r="G30" s="461"/>
      <c r="H30" s="461"/>
      <c r="I30" s="462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Platzierung!T32</f>
        <v>0</v>
      </c>
      <c r="E33" s="60" t="s">
        <v>41</v>
      </c>
      <c r="F33" s="57">
        <f>Platzierung!U32</f>
        <v>0</v>
      </c>
    </row>
    <row r="34" spans="1:9" ht="18.75" x14ac:dyDescent="0.3">
      <c r="A34" s="55"/>
    </row>
    <row r="37" spans="1:9" x14ac:dyDescent="0.2">
      <c r="D37" s="67"/>
      <c r="E37" s="117" t="s">
        <v>88</v>
      </c>
      <c r="F37" s="67"/>
    </row>
    <row r="38" spans="1:9" ht="18.75" x14ac:dyDescent="0.3">
      <c r="A38" s="55"/>
      <c r="E38" s="58" t="s">
        <v>42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8" t="s">
        <v>32</v>
      </c>
      <c r="B42" s="458"/>
      <c r="C42" s="458"/>
      <c r="D42" s="458"/>
      <c r="E42" s="458"/>
      <c r="F42" s="458"/>
      <c r="G42" s="458"/>
      <c r="H42" s="458"/>
      <c r="I42" s="294"/>
    </row>
    <row r="43" spans="1:9" ht="23.25" x14ac:dyDescent="0.35">
      <c r="A43" s="458" t="s">
        <v>33</v>
      </c>
      <c r="B43" s="458"/>
      <c r="C43" s="458"/>
      <c r="D43" s="458"/>
      <c r="E43" s="458"/>
      <c r="F43" s="458"/>
      <c r="G43" s="458"/>
      <c r="H43" s="458"/>
      <c r="I43" s="294"/>
    </row>
    <row r="44" spans="1:9" ht="23.25" x14ac:dyDescent="0.35">
      <c r="A44" s="458" t="s">
        <v>34</v>
      </c>
      <c r="B44" s="458"/>
      <c r="C44" s="458"/>
      <c r="D44" s="458"/>
      <c r="E44" s="458"/>
      <c r="F44" s="458"/>
      <c r="G44" s="458"/>
      <c r="H44" s="458"/>
      <c r="I44" s="294"/>
    </row>
  </sheetData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3:I44"/>
  <sheetViews>
    <sheetView zoomScaleNormal="100" workbookViewId="0">
      <selection activeCell="D1" sqref="D1"/>
    </sheetView>
  </sheetViews>
  <sheetFormatPr baseColWidth="10" defaultRowHeight="12.75" x14ac:dyDescent="0.2"/>
  <cols>
    <col min="4" max="4" width="9.7109375" customWidth="1"/>
    <col min="5" max="5" width="6.42578125" customWidth="1"/>
    <col min="6" max="6" width="17.28515625" customWidth="1"/>
    <col min="7" max="7" width="5.7109375" customWidth="1"/>
  </cols>
  <sheetData>
    <row r="13" spans="4:4" ht="12.75" customHeight="1" x14ac:dyDescent="1.45">
      <c r="D13" s="47"/>
    </row>
    <row r="17" spans="1:9" ht="37.5" x14ac:dyDescent="0.5">
      <c r="A17" s="454" t="s">
        <v>43</v>
      </c>
      <c r="B17" s="454"/>
      <c r="C17" s="454"/>
      <c r="D17" s="454"/>
      <c r="E17" s="454"/>
      <c r="F17" s="454"/>
      <c r="G17" s="454"/>
      <c r="H17" s="454"/>
      <c r="I17" s="455"/>
    </row>
    <row r="18" spans="1:9" ht="4.5" customHeight="1" x14ac:dyDescent="0.2"/>
    <row r="19" spans="1:9" ht="37.5" x14ac:dyDescent="0.5">
      <c r="A19" s="454">
        <f>Platzierung!U4</f>
        <v>0</v>
      </c>
      <c r="B19" s="454"/>
      <c r="C19" s="454"/>
      <c r="D19" s="454"/>
      <c r="E19" s="454"/>
      <c r="F19" s="454"/>
      <c r="G19" s="454"/>
      <c r="H19" s="454"/>
      <c r="I19" s="455"/>
    </row>
    <row r="20" spans="1:9" ht="4.5" customHeight="1" x14ac:dyDescent="0.2"/>
    <row r="21" spans="1:9" ht="34.5" x14ac:dyDescent="0.45">
      <c r="A21" s="456">
        <f>Platzierung!U6</f>
        <v>0</v>
      </c>
      <c r="B21" s="456"/>
      <c r="C21" s="456"/>
      <c r="D21" s="456"/>
      <c r="E21" s="456"/>
      <c r="F21" s="456"/>
      <c r="G21" s="456"/>
      <c r="H21" s="456"/>
      <c r="I21" s="457"/>
    </row>
    <row r="24" spans="1:9" ht="33" x14ac:dyDescent="0.45">
      <c r="A24" s="459" t="s">
        <v>29</v>
      </c>
      <c r="B24" s="459"/>
      <c r="C24" s="459"/>
      <c r="D24" s="459"/>
      <c r="E24" s="459"/>
      <c r="F24" s="459"/>
      <c r="G24" s="459"/>
      <c r="H24" s="459"/>
      <c r="I24" s="460"/>
    </row>
    <row r="26" spans="1:9" ht="33" x14ac:dyDescent="0.45">
      <c r="A26" s="463" t="str">
        <f>Platzierung!B22</f>
        <v>Gnutz</v>
      </c>
      <c r="B26" s="463"/>
      <c r="C26" s="463"/>
      <c r="D26" s="463"/>
      <c r="E26" s="463"/>
      <c r="F26" s="463"/>
      <c r="G26" s="463"/>
      <c r="H26" s="463"/>
      <c r="I26" s="464"/>
    </row>
    <row r="28" spans="1:9" s="49" customFormat="1" ht="33" x14ac:dyDescent="0.45">
      <c r="C28" s="50"/>
      <c r="D28" s="50"/>
      <c r="E28" s="48" t="s">
        <v>35</v>
      </c>
      <c r="F28" s="51"/>
    </row>
    <row r="30" spans="1:9" s="49" customFormat="1" ht="33" x14ac:dyDescent="0.45">
      <c r="A30" s="461" t="s">
        <v>40</v>
      </c>
      <c r="B30" s="461"/>
      <c r="C30" s="461"/>
      <c r="D30" s="461"/>
      <c r="E30" s="461"/>
      <c r="F30" s="461"/>
      <c r="G30" s="461"/>
      <c r="H30" s="461"/>
      <c r="I30" s="462"/>
    </row>
    <row r="31" spans="1:9" s="54" customFormat="1" ht="30" x14ac:dyDescent="0.4">
      <c r="A31" s="52"/>
      <c r="B31" s="52"/>
      <c r="C31" s="52"/>
      <c r="D31" s="52"/>
      <c r="E31" s="52"/>
      <c r="F31" s="52"/>
      <c r="G31" s="52"/>
      <c r="H31" s="52"/>
      <c r="I31" s="53"/>
    </row>
    <row r="33" spans="1:9" ht="18.75" x14ac:dyDescent="0.3">
      <c r="A33" s="55"/>
      <c r="D33" s="56">
        <f>Platzierung!T32</f>
        <v>0</v>
      </c>
      <c r="E33" s="60" t="s">
        <v>41</v>
      </c>
      <c r="F33" s="57">
        <f>Platzierung!U32</f>
        <v>0</v>
      </c>
    </row>
    <row r="34" spans="1:9" ht="18.75" x14ac:dyDescent="0.3">
      <c r="A34" s="55"/>
    </row>
    <row r="37" spans="1:9" x14ac:dyDescent="0.2">
      <c r="D37" s="67"/>
      <c r="E37" s="117" t="s">
        <v>88</v>
      </c>
      <c r="F37" s="67"/>
    </row>
    <row r="38" spans="1:9" ht="18.75" x14ac:dyDescent="0.3">
      <c r="A38" s="55"/>
      <c r="E38" s="58" t="s">
        <v>42</v>
      </c>
    </row>
    <row r="39" spans="1:9" x14ac:dyDescent="0.2">
      <c r="E39" s="59">
        <f>Platzierung!U8</f>
        <v>0</v>
      </c>
    </row>
    <row r="40" spans="1:9" x14ac:dyDescent="0.2">
      <c r="E40" s="59" t="s">
        <v>31</v>
      </c>
    </row>
    <row r="41" spans="1:9" x14ac:dyDescent="0.2">
      <c r="E41" s="59"/>
    </row>
    <row r="42" spans="1:9" ht="23.25" x14ac:dyDescent="0.35">
      <c r="A42" s="458" t="s">
        <v>32</v>
      </c>
      <c r="B42" s="458"/>
      <c r="C42" s="458"/>
      <c r="D42" s="458"/>
      <c r="E42" s="458"/>
      <c r="F42" s="458"/>
      <c r="G42" s="458"/>
      <c r="H42" s="458"/>
      <c r="I42" s="294"/>
    </row>
    <row r="43" spans="1:9" ht="23.25" x14ac:dyDescent="0.35">
      <c r="A43" s="458" t="s">
        <v>33</v>
      </c>
      <c r="B43" s="458"/>
      <c r="C43" s="458"/>
      <c r="D43" s="458"/>
      <c r="E43" s="458"/>
      <c r="F43" s="458"/>
      <c r="G43" s="458"/>
      <c r="H43" s="458"/>
      <c r="I43" s="294"/>
    </row>
    <row r="44" spans="1:9" ht="23.25" x14ac:dyDescent="0.35">
      <c r="A44" s="458" t="s">
        <v>34</v>
      </c>
      <c r="B44" s="458"/>
      <c r="C44" s="458"/>
      <c r="D44" s="458"/>
      <c r="E44" s="458"/>
      <c r="F44" s="458"/>
      <c r="G44" s="458"/>
      <c r="H44" s="458"/>
      <c r="I44" s="294"/>
    </row>
  </sheetData>
  <mergeCells count="9">
    <mergeCell ref="A19:I19"/>
    <mergeCell ref="A21:I21"/>
    <mergeCell ref="A17:I17"/>
    <mergeCell ref="A44:I44"/>
    <mergeCell ref="A24:I24"/>
    <mergeCell ref="A30:I30"/>
    <mergeCell ref="A26:I26"/>
    <mergeCell ref="A42:I42"/>
    <mergeCell ref="A43:I43"/>
  </mergeCells>
  <phoneticPr fontId="0" type="noConversion"/>
  <pageMargins left="0.39370078740157483" right="0.39370078740157483" top="0.39370078740157483" bottom="0.78740157480314965" header="0.51181102362204722" footer="0.51181102362204722"/>
  <pageSetup paperSize="9" orientation="portrait" horizontalDpi="4294967294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6</vt:i4>
      </vt:variant>
    </vt:vector>
  </HeadingPairs>
  <TitlesOfParts>
    <vt:vector size="18" baseType="lpstr">
      <vt:lpstr>Anleitung</vt:lpstr>
      <vt:lpstr>Platzierung</vt:lpstr>
      <vt:lpstr>Spielplan</vt:lpstr>
      <vt:lpstr>Kontrollbogen</vt:lpstr>
      <vt:lpstr>Spielkarten</vt:lpstr>
      <vt:lpstr>1.Platz</vt:lpstr>
      <vt:lpstr>2.Platz</vt:lpstr>
      <vt:lpstr>3.Platz</vt:lpstr>
      <vt:lpstr>4.Platz</vt:lpstr>
      <vt:lpstr>5.Platz</vt:lpstr>
      <vt:lpstr>6.Platz</vt:lpstr>
      <vt:lpstr>7.Platz</vt:lpstr>
      <vt:lpstr>Platzierung!Druckbereich</vt:lpstr>
      <vt:lpstr>Spielkarten!Druckbereich</vt:lpstr>
      <vt:lpstr>Spielplan!Druckbereich</vt:lpstr>
      <vt:lpstr>Spielplan!Drucktitel</vt:lpstr>
      <vt:lpstr>Spielplan</vt:lpstr>
      <vt:lpstr>Tabelle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Maack</dc:creator>
  <dc:description>Saison Halle 2006-2007</dc:description>
  <cp:lastModifiedBy>Thomas</cp:lastModifiedBy>
  <cp:lastPrinted>2013-03-20T10:49:35Z</cp:lastPrinted>
  <dcterms:created xsi:type="dcterms:W3CDTF">2006-05-16T18:09:25Z</dcterms:created>
  <dcterms:modified xsi:type="dcterms:W3CDTF">2021-09-25T09:50:47Z</dcterms:modified>
  <cp:category>Faustball</cp:category>
</cp:coreProperties>
</file>