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6795" activeTab="1"/>
  </bookViews>
  <sheets>
    <sheet name="Anleitung" sheetId="47" r:id="rId1"/>
    <sheet name="Platzierung" sheetId="27" r:id="rId2"/>
    <sheet name="Spielplan" sheetId="25" r:id="rId3"/>
    <sheet name="Kontrollbogen" sheetId="46" r:id="rId4"/>
    <sheet name="Spielkarten" sheetId="39" r:id="rId5"/>
  </sheets>
  <definedNames>
    <definedName name="_xlnm.Print_Area" localSheetId="1">Platzierung!$A$1:$P$23</definedName>
    <definedName name="_xlnm.Print_Area" localSheetId="4">Spielkarten!$A:$AR</definedName>
    <definedName name="_xlnm.Print_Area" localSheetId="2">Spielplan!$C$1:$AF$68</definedName>
    <definedName name="_xlnm.Print_Titles" localSheetId="2">Spielplan!$1:$3</definedName>
    <definedName name="Spielplan">Spielplan!$A$6:$J$67</definedName>
    <definedName name="Tabelle">Platzierung!$S$16:$AI$22</definedName>
  </definedNames>
  <calcPr calcId="162913" fullCalcOnLoad="1"/>
</workbook>
</file>

<file path=xl/calcChain.xml><?xml version="1.0" encoding="utf-8"?>
<calcChain xmlns="http://schemas.openxmlformats.org/spreadsheetml/2006/main">
  <c r="Y7" i="25" l="1"/>
  <c r="U7" i="25"/>
  <c r="AA7" i="25"/>
  <c r="Y9" i="25"/>
  <c r="AA9" i="25"/>
  <c r="U9" i="25"/>
  <c r="Y13" i="25"/>
  <c r="U13" i="25"/>
  <c r="AA13" i="25"/>
  <c r="W7" i="25"/>
  <c r="W9" i="25"/>
  <c r="W13" i="25"/>
  <c r="AD7" i="25"/>
  <c r="AD9" i="25"/>
  <c r="AD13" i="25"/>
  <c r="AF7" i="25"/>
  <c r="Y12" i="25"/>
  <c r="U12" i="25"/>
  <c r="AA12" i="25"/>
  <c r="W12" i="25"/>
  <c r="AD12" i="25"/>
  <c r="Y10" i="25"/>
  <c r="U10" i="25"/>
  <c r="AA10" i="25"/>
  <c r="W10" i="25"/>
  <c r="AD10" i="25"/>
  <c r="Y8" i="25"/>
  <c r="AA8" i="25"/>
  <c r="W8" i="25"/>
  <c r="AD8" i="25"/>
  <c r="AF8" i="25"/>
  <c r="Y11" i="25"/>
  <c r="U11" i="25"/>
  <c r="AA11" i="25"/>
  <c r="W11" i="25"/>
  <c r="AD11" i="25"/>
  <c r="I38" i="25"/>
  <c r="G38" i="25"/>
  <c r="I35" i="25"/>
  <c r="G35" i="25"/>
  <c r="I40" i="25"/>
  <c r="G40" i="25"/>
  <c r="G41" i="25"/>
  <c r="I41" i="25"/>
  <c r="I42" i="25"/>
  <c r="G42" i="25"/>
  <c r="J62" i="25"/>
  <c r="J61" i="25"/>
  <c r="J59" i="25"/>
  <c r="J57" i="25"/>
  <c r="J56" i="25"/>
  <c r="J55" i="25"/>
  <c r="J54" i="25"/>
  <c r="J53" i="25"/>
  <c r="J52" i="25"/>
  <c r="J51" i="25"/>
  <c r="J50" i="25"/>
  <c r="J49" i="25"/>
  <c r="I62" i="25"/>
  <c r="I60" i="25"/>
  <c r="I59" i="25"/>
  <c r="I58" i="25"/>
  <c r="I57" i="25"/>
  <c r="I56" i="25"/>
  <c r="I55" i="25"/>
  <c r="I54" i="25"/>
  <c r="I53" i="25"/>
  <c r="I52" i="25"/>
  <c r="I51" i="25"/>
  <c r="I50" i="25"/>
  <c r="I49" i="25"/>
  <c r="G62" i="25"/>
  <c r="G60" i="25"/>
  <c r="G59" i="25"/>
  <c r="G58" i="25"/>
  <c r="G57" i="25"/>
  <c r="G56" i="25"/>
  <c r="G55" i="25"/>
  <c r="G54" i="25"/>
  <c r="G53" i="25"/>
  <c r="G52" i="25"/>
  <c r="AF62" i="25"/>
  <c r="AD62" i="25"/>
  <c r="AA62" i="25"/>
  <c r="W62" i="25"/>
  <c r="Y62" i="25"/>
  <c r="U62" i="25"/>
  <c r="AF56" i="25"/>
  <c r="AD56" i="25"/>
  <c r="AA56" i="25"/>
  <c r="Y56" i="25"/>
  <c r="U56" i="25"/>
  <c r="W56" i="25"/>
  <c r="AF52" i="25"/>
  <c r="AD52" i="25"/>
  <c r="AA52" i="25"/>
  <c r="W52" i="25"/>
  <c r="Y52" i="25"/>
  <c r="U52" i="25"/>
  <c r="G51" i="25"/>
  <c r="G50" i="25"/>
  <c r="G49" i="25"/>
  <c r="J42" i="25"/>
  <c r="J41" i="25"/>
  <c r="J40" i="25"/>
  <c r="J37" i="25"/>
  <c r="J38" i="25"/>
  <c r="J36" i="25"/>
  <c r="J35" i="25"/>
  <c r="J34" i="25"/>
  <c r="J33" i="25"/>
  <c r="J32" i="25"/>
  <c r="J31" i="25"/>
  <c r="J30" i="25"/>
  <c r="J29" i="25"/>
  <c r="I39" i="25"/>
  <c r="I37" i="25"/>
  <c r="I36" i="25"/>
  <c r="I34" i="25"/>
  <c r="I33" i="25"/>
  <c r="I32" i="25"/>
  <c r="I31" i="25"/>
  <c r="I30" i="25"/>
  <c r="I29" i="25"/>
  <c r="G39" i="25"/>
  <c r="G37" i="25"/>
  <c r="G36" i="25"/>
  <c r="G34" i="25"/>
  <c r="G33" i="25"/>
  <c r="G32" i="25"/>
  <c r="G31" i="25"/>
  <c r="G29" i="25"/>
  <c r="AF40" i="25"/>
  <c r="AD40" i="25"/>
  <c r="AA40" i="25"/>
  <c r="W40" i="25"/>
  <c r="Y40" i="25"/>
  <c r="U40" i="25"/>
  <c r="AF36" i="25"/>
  <c r="AD36" i="25"/>
  <c r="AA36" i="25"/>
  <c r="Y36" i="25"/>
  <c r="W36" i="25"/>
  <c r="U36" i="25"/>
  <c r="I20" i="25"/>
  <c r="G20" i="25"/>
  <c r="J19" i="25"/>
  <c r="I19" i="25"/>
  <c r="G19" i="25"/>
  <c r="J18" i="25"/>
  <c r="I18" i="25"/>
  <c r="G18" i="25"/>
  <c r="J17" i="25"/>
  <c r="I17" i="25"/>
  <c r="J16" i="25"/>
  <c r="I16" i="25"/>
  <c r="G16" i="25"/>
  <c r="AF20" i="25"/>
  <c r="AD20" i="25"/>
  <c r="AA20" i="25"/>
  <c r="W20" i="25"/>
  <c r="Y20" i="25"/>
  <c r="U20" i="25"/>
  <c r="J20" i="25"/>
  <c r="AF16" i="25"/>
  <c r="AD16" i="25"/>
  <c r="AA16" i="25"/>
  <c r="Y16" i="25"/>
  <c r="W16" i="25"/>
  <c r="J15" i="25"/>
  <c r="I15" i="25"/>
  <c r="G15" i="25"/>
  <c r="J14" i="25"/>
  <c r="I14" i="25"/>
  <c r="J13" i="25"/>
  <c r="I13" i="25"/>
  <c r="G13" i="25"/>
  <c r="J12" i="25"/>
  <c r="I12" i="25"/>
  <c r="G12" i="25"/>
  <c r="J11" i="25"/>
  <c r="I11" i="25"/>
  <c r="G11" i="25"/>
  <c r="J10" i="25"/>
  <c r="I10" i="25"/>
  <c r="AF10" i="25"/>
  <c r="G10" i="25"/>
  <c r="J9" i="25"/>
  <c r="I9" i="25"/>
  <c r="G9" i="25"/>
  <c r="J8" i="25"/>
  <c r="I8" i="25"/>
  <c r="G8" i="25"/>
  <c r="Y18" i="25"/>
  <c r="U18" i="25"/>
  <c r="Y29" i="25"/>
  <c r="U29" i="25"/>
  <c r="Y35" i="25"/>
  <c r="U35" i="25"/>
  <c r="AA41" i="25"/>
  <c r="W41" i="25"/>
  <c r="AA49" i="25"/>
  <c r="W49" i="25"/>
  <c r="AA53" i="25"/>
  <c r="W53" i="25"/>
  <c r="AA58" i="25"/>
  <c r="W58" i="25"/>
  <c r="AA61" i="25"/>
  <c r="W61" i="25"/>
  <c r="Y14" i="25"/>
  <c r="Y19" i="25"/>
  <c r="U19" i="25"/>
  <c r="Y30" i="25"/>
  <c r="U30" i="25"/>
  <c r="Y33" i="25"/>
  <c r="U33" i="25"/>
  <c r="AA38" i="25"/>
  <c r="W38" i="25"/>
  <c r="AA42" i="25"/>
  <c r="W42" i="25"/>
  <c r="Y49" i="25"/>
  <c r="U49" i="25"/>
  <c r="AA54" i="25"/>
  <c r="W54" i="25"/>
  <c r="AA59" i="25"/>
  <c r="W59" i="25"/>
  <c r="AA18" i="25"/>
  <c r="W18" i="25"/>
  <c r="AA29" i="25"/>
  <c r="W29" i="25"/>
  <c r="AA35" i="25"/>
  <c r="W35" i="25"/>
  <c r="Y41" i="25"/>
  <c r="U41" i="25"/>
  <c r="Y53" i="25"/>
  <c r="U53" i="25"/>
  <c r="Y58" i="25"/>
  <c r="U58" i="25"/>
  <c r="Y61" i="25"/>
  <c r="U61" i="25"/>
  <c r="AA14" i="25"/>
  <c r="Z20" i="27"/>
  <c r="AA19" i="25"/>
  <c r="W19" i="25"/>
  <c r="AA30" i="25"/>
  <c r="W30" i="25"/>
  <c r="AA33" i="25"/>
  <c r="W33" i="25"/>
  <c r="Y38" i="25"/>
  <c r="U38" i="25"/>
  <c r="Y42" i="25"/>
  <c r="U42" i="25"/>
  <c r="Y54" i="25"/>
  <c r="U54" i="25"/>
  <c r="Y59" i="25"/>
  <c r="U59" i="25"/>
  <c r="AD18" i="25"/>
  <c r="AD29" i="25"/>
  <c r="AD35" i="25"/>
  <c r="AF41" i="25"/>
  <c r="AF49" i="25"/>
  <c r="AF53" i="25"/>
  <c r="AF58" i="25"/>
  <c r="AF61" i="25"/>
  <c r="AF11" i="25"/>
  <c r="AF18" i="25"/>
  <c r="AF29" i="25"/>
  <c r="AF35" i="25"/>
  <c r="AD41" i="25"/>
  <c r="AD49" i="25"/>
  <c r="AD53" i="25"/>
  <c r="AD58" i="25"/>
  <c r="AD61" i="25"/>
  <c r="AD14" i="25"/>
  <c r="AD19" i="25"/>
  <c r="AD30" i="25"/>
  <c r="AD33" i="25"/>
  <c r="AF38" i="25"/>
  <c r="AF42" i="25"/>
  <c r="AF54" i="25"/>
  <c r="AF59" i="25"/>
  <c r="AF12" i="25"/>
  <c r="AF14" i="25"/>
  <c r="AF19" i="25"/>
  <c r="AF30" i="25"/>
  <c r="AF33" i="25"/>
  <c r="AD38" i="25"/>
  <c r="AD42" i="25"/>
  <c r="AD54" i="25"/>
  <c r="AD59" i="25"/>
  <c r="Y17" i="25"/>
  <c r="U17" i="25"/>
  <c r="Y32" i="25"/>
  <c r="U32" i="25"/>
  <c r="AA39" i="25"/>
  <c r="W39" i="25"/>
  <c r="AA51" i="25"/>
  <c r="W51" i="25"/>
  <c r="AA57" i="25"/>
  <c r="W57" i="25"/>
  <c r="AA17" i="25"/>
  <c r="W17" i="25"/>
  <c r="AA32" i="25"/>
  <c r="W32" i="25"/>
  <c r="Y39" i="25"/>
  <c r="U39" i="25"/>
  <c r="Y51" i="25"/>
  <c r="U51" i="25"/>
  <c r="Y57" i="25"/>
  <c r="U57" i="25"/>
  <c r="AD17" i="25"/>
  <c r="AD32" i="25"/>
  <c r="AF39" i="25"/>
  <c r="AF51" i="25"/>
  <c r="AF57" i="25"/>
  <c r="AF9" i="25"/>
  <c r="AF17" i="25"/>
  <c r="AF32" i="25"/>
  <c r="AD39" i="25"/>
  <c r="AD51" i="25"/>
  <c r="AD57" i="25"/>
  <c r="Y34" i="25"/>
  <c r="U34" i="25"/>
  <c r="AA37" i="25"/>
  <c r="W37" i="25"/>
  <c r="AA55" i="25"/>
  <c r="W55" i="25"/>
  <c r="AA34" i="25"/>
  <c r="W34" i="25"/>
  <c r="Y37" i="25"/>
  <c r="U37" i="25"/>
  <c r="Y55" i="25"/>
  <c r="U55" i="25"/>
  <c r="AD34" i="25"/>
  <c r="AF37" i="25"/>
  <c r="AF55" i="25"/>
  <c r="AF13" i="25"/>
  <c r="AF34" i="25"/>
  <c r="AD37" i="25"/>
  <c r="AD55" i="25"/>
  <c r="Y15" i="25"/>
  <c r="AA60" i="25"/>
  <c r="W60" i="25"/>
  <c r="AA15" i="25"/>
  <c r="Y60" i="25"/>
  <c r="U60" i="25"/>
  <c r="AD15" i="25"/>
  <c r="AF60" i="25"/>
  <c r="AF15" i="25"/>
  <c r="AD60" i="25"/>
  <c r="Y31" i="25"/>
  <c r="U31" i="25"/>
  <c r="AA50" i="25"/>
  <c r="W50" i="25"/>
  <c r="AA31" i="25"/>
  <c r="W31" i="25"/>
  <c r="Y50" i="25"/>
  <c r="U50" i="25"/>
  <c r="AD31" i="25"/>
  <c r="AF50" i="25"/>
  <c r="AF31" i="25"/>
  <c r="AD50" i="25"/>
  <c r="BD16" i="27"/>
  <c r="BD17" i="27"/>
  <c r="BD18" i="27"/>
  <c r="BD19" i="27"/>
  <c r="BD20" i="27"/>
  <c r="BD21" i="27"/>
  <c r="BD22" i="27"/>
  <c r="I9" i="46"/>
  <c r="D2" i="46"/>
  <c r="A17" i="46"/>
  <c r="A18" i="46"/>
  <c r="A19" i="46"/>
  <c r="A15" i="46"/>
  <c r="A16" i="46"/>
  <c r="A14" i="46"/>
  <c r="A13" i="46"/>
  <c r="U11" i="27"/>
  <c r="A4" i="27"/>
  <c r="A2" i="27"/>
  <c r="K9" i="27"/>
  <c r="AU12" i="39"/>
  <c r="AU24" i="39"/>
  <c r="AU23" i="39"/>
  <c r="AU22" i="39"/>
  <c r="AU21" i="39"/>
  <c r="AU20" i="39"/>
  <c r="AU19" i="39"/>
  <c r="AU18" i="39"/>
  <c r="AU17" i="39"/>
  <c r="AU16" i="39"/>
  <c r="AU15" i="39"/>
  <c r="AU14" i="39"/>
  <c r="AU13" i="39"/>
  <c r="AU25" i="39"/>
  <c r="AU26" i="39"/>
  <c r="AU27" i="39"/>
  <c r="AU28" i="39"/>
  <c r="Y38" i="39"/>
  <c r="AM144" i="39"/>
  <c r="AM142" i="39"/>
  <c r="Y142" i="39"/>
  <c r="AM140" i="39"/>
  <c r="Y140" i="39"/>
  <c r="AM178" i="39"/>
  <c r="AM176" i="39"/>
  <c r="Y176" i="39"/>
  <c r="AM174" i="39"/>
  <c r="Y174" i="39"/>
  <c r="AM212" i="39"/>
  <c r="AM210" i="39"/>
  <c r="Y210" i="39"/>
  <c r="AM208" i="39"/>
  <c r="Y208" i="39"/>
  <c r="AM246" i="39"/>
  <c r="AM244" i="39"/>
  <c r="Y244" i="39"/>
  <c r="AM242" i="39"/>
  <c r="Y242" i="39"/>
  <c r="AM280" i="39"/>
  <c r="AM278" i="39"/>
  <c r="Y278" i="39"/>
  <c r="AM276" i="39"/>
  <c r="Y276" i="39"/>
  <c r="AM314" i="39"/>
  <c r="AM312" i="39"/>
  <c r="Y312" i="39"/>
  <c r="AM310" i="39"/>
  <c r="Y310" i="39"/>
  <c r="AM348" i="39"/>
  <c r="AM346" i="39"/>
  <c r="Y346" i="39"/>
  <c r="AM344" i="39"/>
  <c r="Y344" i="39"/>
  <c r="AM382" i="39"/>
  <c r="AM380" i="39"/>
  <c r="Y380" i="39"/>
  <c r="AM378" i="39"/>
  <c r="Y378" i="39"/>
  <c r="AM416" i="39"/>
  <c r="AM414" i="39"/>
  <c r="Y414" i="39"/>
  <c r="AM412" i="39"/>
  <c r="Y412" i="39"/>
  <c r="AM450" i="39"/>
  <c r="AM448" i="39"/>
  <c r="Y448" i="39"/>
  <c r="AM446" i="39"/>
  <c r="Y446" i="39"/>
  <c r="AM484" i="39"/>
  <c r="AM482" i="39"/>
  <c r="Y482" i="39"/>
  <c r="AM480" i="39"/>
  <c r="Y480" i="39"/>
  <c r="AM518" i="39"/>
  <c r="AM516" i="39"/>
  <c r="Y516" i="39"/>
  <c r="AM514" i="39"/>
  <c r="Y514" i="39"/>
  <c r="AM552" i="39"/>
  <c r="AM550" i="39"/>
  <c r="Y550" i="39"/>
  <c r="AM548" i="39"/>
  <c r="Y548" i="39"/>
  <c r="AM586" i="39"/>
  <c r="AM584" i="39"/>
  <c r="Y584" i="39"/>
  <c r="AM582" i="39"/>
  <c r="Y582" i="39"/>
  <c r="AM110" i="39"/>
  <c r="AM108" i="39"/>
  <c r="Y108" i="39"/>
  <c r="AM106" i="39"/>
  <c r="Y106" i="39"/>
  <c r="AM8" i="39"/>
  <c r="AM6" i="39"/>
  <c r="Y6" i="39"/>
  <c r="AM4" i="39"/>
  <c r="Y4" i="39"/>
  <c r="Y40" i="39"/>
  <c r="Y74" i="39"/>
  <c r="Y72" i="39"/>
  <c r="AM42" i="39"/>
  <c r="AM40" i="39"/>
  <c r="AM38" i="39"/>
  <c r="AM76" i="39"/>
  <c r="AM74" i="39"/>
  <c r="AM72" i="39"/>
  <c r="I4" i="25"/>
  <c r="Y144" i="39"/>
  <c r="Y178" i="39"/>
  <c r="Y212" i="39"/>
  <c r="Y246" i="39"/>
  <c r="Y280" i="39"/>
  <c r="Y314" i="39"/>
  <c r="Y348" i="39"/>
  <c r="Y382" i="39"/>
  <c r="Y416" i="39"/>
  <c r="Y450" i="39"/>
  <c r="Y484" i="39"/>
  <c r="Y518" i="39"/>
  <c r="Y552" i="39"/>
  <c r="Y586" i="39"/>
  <c r="Y110" i="39"/>
  <c r="B7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B8" i="25"/>
  <c r="AM138" i="39"/>
  <c r="AM172" i="39"/>
  <c r="AM206" i="39"/>
  <c r="AM240" i="39"/>
  <c r="AM274" i="39"/>
  <c r="AM308" i="39"/>
  <c r="AM342" i="39"/>
  <c r="AM376" i="39"/>
  <c r="AM410" i="39"/>
  <c r="AM444" i="39"/>
  <c r="AM478" i="39"/>
  <c r="AM512" i="39"/>
  <c r="AM546" i="39"/>
  <c r="AM580" i="39"/>
  <c r="AM104" i="39"/>
  <c r="D318" i="39"/>
  <c r="D488" i="39"/>
  <c r="D450" i="39"/>
  <c r="D178" i="39"/>
  <c r="D114" i="39"/>
  <c r="G7" i="25"/>
  <c r="D12" i="39"/>
  <c r="D420" i="39"/>
  <c r="G14" i="25"/>
  <c r="D216" i="39"/>
  <c r="D352" i="39"/>
  <c r="D314" i="39"/>
  <c r="D148" i="39"/>
  <c r="D522" i="39"/>
  <c r="D552" i="39"/>
  <c r="I7" i="25"/>
  <c r="S12" i="39"/>
  <c r="D382" i="39"/>
  <c r="D454" i="39"/>
  <c r="S216" i="39"/>
  <c r="D416" i="39"/>
  <c r="D484" i="39"/>
  <c r="J7" i="25"/>
  <c r="D8" i="39"/>
  <c r="D80" i="39"/>
  <c r="D110" i="39"/>
  <c r="D246" i="39"/>
  <c r="D182" i="39"/>
  <c r="S420" i="39"/>
  <c r="S522" i="39"/>
  <c r="D586" i="39"/>
  <c r="S46" i="39"/>
  <c r="S148" i="39"/>
  <c r="D250" i="39"/>
  <c r="D212" i="39"/>
  <c r="D348" i="39"/>
  <c r="D386" i="39"/>
  <c r="S488" i="39"/>
  <c r="D42" i="39"/>
  <c r="S80" i="39"/>
  <c r="D144" i="39"/>
  <c r="S182" i="39"/>
  <c r="S318" i="39"/>
  <c r="S386" i="39"/>
  <c r="D518" i="39"/>
  <c r="D556" i="39"/>
  <c r="D76" i="39"/>
  <c r="S114" i="39"/>
  <c r="S250" i="39"/>
  <c r="S352" i="39"/>
  <c r="S454" i="39"/>
  <c r="D280" i="39"/>
  <c r="S556" i="39"/>
  <c r="G17" i="25"/>
  <c r="D284" i="39"/>
  <c r="S284" i="39"/>
  <c r="D590" i="39"/>
  <c r="S590" i="39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66" i="25"/>
  <c r="J58" i="25"/>
  <c r="I61" i="25"/>
  <c r="J39" i="25"/>
  <c r="G61" i="25"/>
  <c r="D46" i="39"/>
  <c r="J60" i="25"/>
  <c r="G30" i="25"/>
  <c r="Q47" i="25"/>
  <c r="J47" i="25"/>
  <c r="Q27" i="25"/>
  <c r="J27" i="25"/>
  <c r="Q5" i="25"/>
  <c r="J5" i="25"/>
  <c r="Q46" i="25"/>
  <c r="Q26" i="25"/>
  <c r="Q4" i="25"/>
  <c r="J4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I46" i="25"/>
  <c r="B51" i="25"/>
  <c r="B50" i="25"/>
  <c r="B49" i="25"/>
  <c r="I26" i="25"/>
  <c r="B42" i="25"/>
  <c r="B41" i="25"/>
  <c r="B39" i="25"/>
  <c r="B38" i="25"/>
  <c r="B34" i="25"/>
  <c r="B33" i="25"/>
  <c r="B32" i="25"/>
  <c r="B30" i="25"/>
  <c r="B29" i="25"/>
  <c r="J46" i="25"/>
  <c r="J26" i="25"/>
  <c r="F2" i="25"/>
  <c r="F1" i="25"/>
  <c r="B16" i="25"/>
  <c r="B10" i="25"/>
  <c r="B20" i="25"/>
  <c r="AG19" i="27"/>
  <c r="Z17" i="27"/>
  <c r="Z16" i="27"/>
  <c r="U16" i="25"/>
  <c r="X22" i="27"/>
  <c r="AE18" i="27"/>
  <c r="B40" i="25"/>
  <c r="B36" i="25"/>
  <c r="B59" i="25"/>
  <c r="B55" i="25"/>
  <c r="B62" i="25"/>
  <c r="Y76" i="39"/>
  <c r="B58" i="25"/>
  <c r="B54" i="25"/>
  <c r="B61" i="25"/>
  <c r="Y42" i="39"/>
  <c r="B57" i="25"/>
  <c r="B53" i="25"/>
  <c r="B60" i="25"/>
  <c r="Y8" i="39"/>
  <c r="B56" i="25"/>
  <c r="B52" i="25"/>
  <c r="B9" i="25"/>
  <c r="B18" i="25"/>
  <c r="B15" i="25"/>
  <c r="B13" i="25"/>
  <c r="AE21" i="27"/>
  <c r="AB21" i="27"/>
  <c r="AD21" i="27"/>
  <c r="U15" i="25"/>
  <c r="V19" i="27"/>
  <c r="AB16" i="27"/>
  <c r="AD16" i="27"/>
  <c r="X18" i="27"/>
  <c r="V21" i="27"/>
  <c r="B11" i="25"/>
  <c r="AB19" i="27"/>
  <c r="AD19" i="27"/>
  <c r="W15" i="25"/>
  <c r="AG16" i="27"/>
  <c r="AE20" i="27"/>
  <c r="AG17" i="27"/>
  <c r="AE16" i="27"/>
  <c r="Z18" i="27"/>
  <c r="AC18" i="27"/>
  <c r="B19" i="25"/>
  <c r="B17" i="25"/>
  <c r="B14" i="25"/>
  <c r="B12" i="25"/>
  <c r="AG21" i="27"/>
  <c r="AE17" i="27"/>
  <c r="AG20" i="27"/>
  <c r="AG18" i="27"/>
  <c r="V22" i="27"/>
  <c r="W14" i="25"/>
  <c r="V20" i="27"/>
  <c r="U14" i="25"/>
  <c r="V17" i="27"/>
  <c r="AE22" i="27"/>
  <c r="AG22" i="27"/>
  <c r="Z22" i="27"/>
  <c r="AC22" i="27"/>
  <c r="AE19" i="27"/>
  <c r="AH19" i="27"/>
  <c r="U8" i="25"/>
  <c r="AB20" i="27"/>
  <c r="AD20" i="27"/>
  <c r="Z19" i="27"/>
  <c r="AC19" i="27"/>
  <c r="AB18" i="27"/>
  <c r="AD18" i="27"/>
  <c r="AB17" i="27"/>
  <c r="AD17" i="27"/>
  <c r="Z21" i="27"/>
  <c r="AC21" i="27"/>
  <c r="X16" i="27"/>
  <c r="AB22" i="27"/>
  <c r="AD22" i="27"/>
  <c r="U19" i="27"/>
  <c r="U17" i="27"/>
  <c r="Y22" i="27"/>
  <c r="U22" i="27"/>
  <c r="AH20" i="27"/>
  <c r="AC16" i="27"/>
  <c r="X21" i="27"/>
  <c r="U21" i="27"/>
  <c r="X20" i="27"/>
  <c r="Y20" i="27"/>
  <c r="AH21" i="27"/>
  <c r="AC17" i="27"/>
  <c r="X17" i="27"/>
  <c r="Y17" i="27"/>
  <c r="V18" i="27"/>
  <c r="X19" i="27"/>
  <c r="Y19" i="27"/>
  <c r="AH22" i="27"/>
  <c r="V16" i="27"/>
  <c r="AH17" i="27"/>
  <c r="AH16" i="27"/>
  <c r="AH18" i="27"/>
  <c r="AC20" i="27"/>
  <c r="AW17" i="27"/>
  <c r="BA17" i="27"/>
  <c r="AU17" i="27"/>
  <c r="AY17" i="27"/>
  <c r="AU20" i="27"/>
  <c r="AQ20" i="27"/>
  <c r="BA20" i="27"/>
  <c r="AY20" i="27"/>
  <c r="AQ22" i="27"/>
  <c r="AW19" i="27"/>
  <c r="AQ19" i="27"/>
  <c r="BA19" i="27"/>
  <c r="AQ18" i="27"/>
  <c r="Y18" i="27"/>
  <c r="BA18" i="27"/>
  <c r="AW18" i="27"/>
  <c r="U18" i="27"/>
  <c r="Y21" i="27"/>
  <c r="AW22" i="27"/>
  <c r="AY16" i="27"/>
  <c r="AS16" i="27"/>
  <c r="Y16" i="27"/>
  <c r="BA16" i="27"/>
  <c r="AU16" i="27"/>
  <c r="AW16" i="27"/>
  <c r="U16" i="27"/>
  <c r="AO20" i="27"/>
  <c r="AO22" i="27"/>
  <c r="AO17" i="27"/>
  <c r="AO19" i="27"/>
  <c r="U20" i="27"/>
  <c r="AU22" i="27"/>
  <c r="AS17" i="27"/>
  <c r="AQ21" i="27"/>
  <c r="AW21" i="27"/>
  <c r="BA21" i="27"/>
  <c r="AU21" i="27"/>
  <c r="AO21" i="27"/>
  <c r="AY18" i="27"/>
  <c r="AM22" i="27"/>
  <c r="AM17" i="27"/>
  <c r="AS21" i="27"/>
  <c r="AQ16" i="27"/>
  <c r="AM16" i="27"/>
  <c r="AS19" i="27"/>
  <c r="AM19" i="27"/>
  <c r="AU18" i="27"/>
  <c r="AO18" i="27"/>
  <c r="AM18" i="27"/>
  <c r="AS20" i="27"/>
  <c r="AM20" i="27"/>
  <c r="AY22" i="27"/>
  <c r="AS22" i="27"/>
  <c r="AY19" i="27"/>
  <c r="BB19" i="27"/>
  <c r="AR19" i="27"/>
  <c r="AT19" i="27"/>
  <c r="AP19" i="27"/>
  <c r="AX19" i="27"/>
  <c r="BB20" i="27"/>
  <c r="AV20" i="27"/>
  <c r="AR20" i="27"/>
  <c r="AT20" i="27"/>
  <c r="AP20" i="27"/>
  <c r="BB18" i="27"/>
  <c r="AX18" i="27"/>
  <c r="AV18" i="27"/>
  <c r="AR18" i="27"/>
  <c r="AP18" i="27"/>
  <c r="AV17" i="27"/>
  <c r="BB17" i="27"/>
  <c r="AX17" i="27"/>
  <c r="AT17" i="27"/>
  <c r="AP17" i="27"/>
  <c r="AM21" i="27"/>
  <c r="AZ17" i="27"/>
  <c r="BB16" i="27"/>
  <c r="AX16" i="27"/>
  <c r="AR16" i="27"/>
  <c r="AN16" i="27"/>
  <c r="AL16" i="27"/>
  <c r="AT16" i="27"/>
  <c r="AZ16" i="27"/>
  <c r="AV16" i="27"/>
  <c r="AX22" i="27"/>
  <c r="AR22" i="27"/>
  <c r="AZ22" i="27"/>
  <c r="AV22" i="27"/>
  <c r="AT22" i="27"/>
  <c r="AP22" i="27"/>
  <c r="AN17" i="27"/>
  <c r="AL17" i="27"/>
  <c r="AZ19" i="27"/>
  <c r="AN18" i="27"/>
  <c r="AL18" i="27"/>
  <c r="AN22" i="27"/>
  <c r="AL22" i="27"/>
  <c r="AR21" i="27"/>
  <c r="AT21" i="27"/>
  <c r="AP21" i="27"/>
  <c r="AN21" i="27"/>
  <c r="AL21" i="27"/>
  <c r="AX21" i="27"/>
  <c r="AV21" i="27"/>
  <c r="BB21" i="27"/>
  <c r="AZ18" i="27"/>
  <c r="AZ20" i="27"/>
  <c r="AN20" i="27"/>
  <c r="AL20" i="27"/>
  <c r="AK20" i="27"/>
  <c r="AN19" i="27"/>
  <c r="AL19" i="27"/>
  <c r="S20" i="27"/>
  <c r="AI20" i="27"/>
  <c r="AK21" i="27"/>
  <c r="AK18" i="27"/>
  <c r="AK17" i="27"/>
  <c r="AK19" i="27"/>
  <c r="AK22" i="27"/>
  <c r="AK16" i="27"/>
  <c r="S16" i="27"/>
  <c r="AI16" i="27"/>
  <c r="AI21" i="27"/>
  <c r="S21" i="27"/>
  <c r="S22" i="27"/>
  <c r="AI22" i="27"/>
  <c r="S18" i="27"/>
  <c r="AI18" i="27"/>
  <c r="AI19" i="27"/>
  <c r="S19" i="27"/>
  <c r="S17" i="27"/>
  <c r="AI17" i="27"/>
  <c r="B19" i="27"/>
  <c r="A21" i="27"/>
  <c r="A19" i="27"/>
  <c r="L22" i="27"/>
  <c r="F22" i="27"/>
  <c r="L21" i="27"/>
  <c r="F21" i="27"/>
  <c r="L20" i="27"/>
  <c r="F20" i="27"/>
  <c r="L19" i="27"/>
  <c r="F19" i="27"/>
  <c r="L18" i="27"/>
  <c r="F18" i="27"/>
  <c r="L17" i="27"/>
  <c r="F17" i="27"/>
  <c r="L16" i="27"/>
  <c r="F16" i="27"/>
  <c r="O18" i="27"/>
  <c r="O20" i="27"/>
  <c r="H21" i="27"/>
  <c r="B18" i="27"/>
  <c r="B22" i="27"/>
  <c r="A16" i="27"/>
  <c r="A20" i="27"/>
  <c r="K22" i="27"/>
  <c r="D22" i="27"/>
  <c r="K21" i="27"/>
  <c r="D21" i="27"/>
  <c r="K20" i="27"/>
  <c r="D20" i="27"/>
  <c r="K19" i="27"/>
  <c r="D19" i="27"/>
  <c r="K18" i="27"/>
  <c r="D18" i="27"/>
  <c r="K17" i="27"/>
  <c r="D17" i="27"/>
  <c r="K16" i="27"/>
  <c r="D16" i="27"/>
  <c r="O16" i="27"/>
  <c r="O21" i="27"/>
  <c r="N18" i="27"/>
  <c r="B16" i="27"/>
  <c r="B17" i="27"/>
  <c r="B21" i="27"/>
  <c r="A17" i="27"/>
  <c r="J22" i="27"/>
  <c r="C22" i="27"/>
  <c r="J21" i="27"/>
  <c r="C21" i="27"/>
  <c r="J20" i="27"/>
  <c r="C20" i="27"/>
  <c r="J19" i="27"/>
  <c r="C19" i="27"/>
  <c r="J18" i="27"/>
  <c r="C18" i="27"/>
  <c r="J17" i="27"/>
  <c r="C17" i="27"/>
  <c r="J16" i="27"/>
  <c r="C16" i="27"/>
  <c r="O17" i="27"/>
  <c r="B20" i="27"/>
  <c r="A22" i="27"/>
  <c r="A18" i="27"/>
  <c r="N22" i="27"/>
  <c r="H22" i="27"/>
  <c r="N21" i="27"/>
  <c r="N20" i="27"/>
  <c r="H20" i="27"/>
  <c r="N19" i="27"/>
  <c r="H19" i="27"/>
  <c r="H18" i="27"/>
  <c r="N17" i="27"/>
  <c r="H17" i="27"/>
  <c r="N16" i="27"/>
  <c r="H16" i="27"/>
  <c r="O19" i="27"/>
  <c r="O22" i="27"/>
  <c r="B35" i="25"/>
  <c r="B31" i="25"/>
  <c r="B37" i="25"/>
  <c r="C61" i="25"/>
  <c r="AM2" i="39"/>
  <c r="AM36" i="39"/>
  <c r="C62" i="25"/>
  <c r="AM70" i="39"/>
</calcChain>
</file>

<file path=xl/comments1.xml><?xml version="1.0" encoding="utf-8"?>
<comments xmlns="http://schemas.openxmlformats.org/spreadsheetml/2006/main">
  <authors>
    <author>Burkhard</author>
  </authors>
  <commentList>
    <comment ref="U3" authorId="0" shapeId="0">
      <text>
        <r>
          <rPr>
            <b/>
            <sz val="8"/>
            <color indexed="81"/>
            <rFont val="Tahoma"/>
            <family val="2"/>
          </rPr>
          <t>Hier wird die gewünschte Spielklasse 
in Kurzform für die Spielkarten eingetragen :
z.B.: Damen BOLS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Damen Bezirksoberliga Süd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
Z.B.: 0:30:00 für 30 min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
Z.B.: 0:05:00 für 5 min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16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0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</text>
    </comment>
    <comment ref="T27" authorId="0" shapeId="0">
      <text>
        <r>
          <rPr>
            <b/>
            <sz val="8"/>
            <color indexed="81"/>
            <rFont val="Tahoma"/>
            <family val="2"/>
          </rPr>
          <t>In diese Tabelle werden die Spieltage und ihre Orte eingetragen, mit der jeweiligen Startzeit des ersten Durchganges.
Diese Einträge finden sich auf dem Spielplan wieder.</t>
        </r>
      </text>
    </comment>
    <comment ref="X28" authorId="0" shapeId="0">
      <text>
        <r>
          <rPr>
            <b/>
            <sz val="8"/>
            <color indexed="81"/>
            <rFont val="Tahoma"/>
            <family val="2"/>
          </rPr>
          <t xml:space="preserve">Startuhrzeit eintragen : z.B.: 10:00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30" authorId="0" shapeId="0">
      <text>
        <r>
          <rPr>
            <b/>
            <sz val="8"/>
            <color indexed="81"/>
            <rFont val="Tahoma"/>
            <family val="2"/>
          </rPr>
          <t>Startuhrzeit eintragen : z.B.: 10:00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32" authorId="0" shapeId="0">
      <text>
        <r>
          <rPr>
            <b/>
            <sz val="8"/>
            <color indexed="81"/>
            <rFont val="Tahoma"/>
            <family val="2"/>
          </rPr>
          <t>Startuhrzeit eintragen : z.B.: 10:00</t>
        </r>
      </text>
    </comment>
  </commentList>
</comments>
</file>

<file path=xl/comments2.xml><?xml version="1.0" encoding="utf-8"?>
<comments xmlns="http://schemas.openxmlformats.org/spreadsheetml/2006/main">
  <authors>
    <author>Burkhard</author>
  </authors>
  <commentList>
    <comment ref="AU9" authorId="0" shapeId="0">
      <text>
        <r>
          <rPr>
            <b/>
            <sz val="8"/>
            <color indexed="81"/>
            <rFont val="Tahoma"/>
            <family val="2"/>
          </rPr>
          <t>Hier bitte die Spielnummer für den ersten Spielbericht eingeben</t>
        </r>
      </text>
    </comment>
    <comment ref="AX9" authorId="0" shapeId="0">
      <text>
        <r>
          <rPr>
            <b/>
            <sz val="8"/>
            <color indexed="81"/>
            <rFont val="Tahoma"/>
            <family val="2"/>
          </rPr>
          <t>Hier bitte die Spielnummer für den letzten Spielbericht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<sst xmlns="http://schemas.openxmlformats.org/spreadsheetml/2006/main" count="1726" uniqueCount="195">
  <si>
    <t xml:space="preserve"> : </t>
  </si>
  <si>
    <t>Bälle</t>
  </si>
  <si>
    <t>Punkte</t>
  </si>
  <si>
    <t>2. Spieltag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</si>
  <si>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</si>
  <si>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</si>
  <si>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</si>
  <si>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</si>
  <si>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</si>
  <si>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</si>
  <si>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</si>
  <si>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</si>
  <si>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</si>
  <si>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</si>
  <si>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</si>
  <si>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</si>
  <si>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</si>
  <si>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</si>
  <si>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</si>
  <si>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Spieltage</t>
  </si>
  <si>
    <t>Datum</t>
  </si>
  <si>
    <t>Spielort</t>
  </si>
  <si>
    <t>Beginn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</si>
  <si>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</si>
  <si>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</si>
  <si>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</si>
  <si>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</si>
  <si>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</si>
  <si>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</si>
  <si>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Spielbericht - Faustball</t>
  </si>
  <si>
    <t>Spielbeginn :</t>
  </si>
  <si>
    <t>Verband :</t>
  </si>
  <si>
    <t>Durchgang :</t>
  </si>
  <si>
    <t>......................................................</t>
  </si>
  <si>
    <t>Spielklasse :</t>
  </si>
  <si>
    <t>Spiel-Nr. :</t>
  </si>
  <si>
    <t>( Name )</t>
  </si>
  <si>
    <t>Spieltag :</t>
  </si>
  <si>
    <t>Feld :</t>
  </si>
  <si>
    <t>( Verein )</t>
  </si>
  <si>
    <t>Entscheidungsspiel</t>
  </si>
  <si>
    <t>Verwg.</t>
  </si>
  <si>
    <t>Qualifikationsspiel</t>
  </si>
  <si>
    <t>Ballwahl und Anspiel</t>
  </si>
  <si>
    <t>A</t>
  </si>
  <si>
    <t>B</t>
  </si>
  <si>
    <t>Paß-Nr.</t>
  </si>
  <si>
    <t>Name</t>
  </si>
  <si>
    <t>Zeitstr.</t>
  </si>
  <si>
    <t>Spielstand ( A : B )</t>
  </si>
  <si>
    <t>Spielführer</t>
  </si>
  <si>
    <t>:</t>
  </si>
  <si>
    <t>Sieger :</t>
  </si>
  <si>
    <t xml:space="preserve"> </t>
  </si>
  <si>
    <t>..............................................</t>
  </si>
  <si>
    <t>Entsprechenden Vorfall kennzeichnen</t>
  </si>
  <si>
    <t>Für die Richtigkeit der Eintragungen</t>
  </si>
  <si>
    <t>und Bericht auf  Rückseite abgeben.</t>
  </si>
  <si>
    <t>Spielführer (A)</t>
  </si>
  <si>
    <t>Spielführer (B)</t>
  </si>
  <si>
    <t>Einspruch</t>
  </si>
  <si>
    <t>Verletzung</t>
  </si>
  <si>
    <t>Anschreiber</t>
  </si>
  <si>
    <t>Feldverweis</t>
  </si>
  <si>
    <t>Sonstiges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</si>
  <si>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</si>
  <si>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</si>
  <si>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</si>
  <si>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</si>
  <si>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</si>
  <si>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</si>
  <si>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</si>
  <si>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</si>
  <si>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für Satzspiele</t>
  </si>
  <si>
    <t>Satzverh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</si>
  <si>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</si>
  <si>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</si>
  <si>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</si>
  <si>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</si>
  <si>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</si>
  <si>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</si>
  <si>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</si>
  <si>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</si>
  <si>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</si>
  <si>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</si>
  <si>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</si>
  <si>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</si>
  <si>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</si>
  <si>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</si>
  <si>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</si>
  <si>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</si>
  <si>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</si>
  <si>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</si>
  <si>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</si>
  <si>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</si>
  <si>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</si>
  <si>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</si>
  <si>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</si>
  <si>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</si>
  <si>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</si>
  <si>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</si>
  <si>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</si>
  <si>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</si>
  <si>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</si>
  <si>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</si>
  <si>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</si>
  <si>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</si>
  <si>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</si>
  <si>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</si>
  <si>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1.</t>
  </si>
  <si>
    <t>3.</t>
  </si>
  <si>
    <t>Teilnehmende Mannschaften</t>
  </si>
  <si>
    <t>Platzierung</t>
  </si>
  <si>
    <t>Kurz-Bedienungsanleitung</t>
  </si>
  <si>
    <t>Eingabe aller notwendigen Informationen in die grünen Felder im Arbeitsblatt Platzierung</t>
  </si>
  <si>
    <t>Alle Mannschaften müssen zum 1. Durchgang anwesend sein !!</t>
  </si>
  <si>
    <t>Hinweise findet man direkt in den Eingabefeldern (Kommentare)</t>
  </si>
  <si>
    <t>sind nur zu ändern, wenn wirklich ein Losentscheid durchgeführt wurde !!!</t>
  </si>
  <si>
    <t>Die hellgrünen Felder unter der Platzierung nach Losung,</t>
  </si>
  <si>
    <t>Jetzt brauchen lediglich nur noch die Ergebnisse direkt in den Spielplan eingetragen werden.</t>
  </si>
  <si>
    <t>Am besten geht diesen unter Verwendung der TAB-Taste.</t>
  </si>
  <si>
    <t>Die Tabelle und die Urkunden werden immer auf dem aktuellsten Stand gehalten, ohne weitere Arbeitsschritte.</t>
  </si>
  <si>
    <t>Höhere Satzdifferenz aus allen Spielen der Spielrunde</t>
  </si>
  <si>
    <t>Höhere Balldifferenz aus allen Spielen der Spielrunde</t>
  </si>
  <si>
    <t>2.</t>
  </si>
  <si>
    <t>4.</t>
  </si>
  <si>
    <t>5.</t>
  </si>
  <si>
    <t>6.</t>
  </si>
  <si>
    <t>7.</t>
  </si>
  <si>
    <t>Höheres Satzverhältnis aus allen Spielen der Spielrunde</t>
  </si>
  <si>
    <t>Höhere Satzdifferenz aus den Spielen der punktgleichen Mannschaften untereinander</t>
  </si>
  <si>
    <t>Höheres Satzverhältnis aus den Spielen der punktgleichen Mannschaften untereinander</t>
  </si>
  <si>
    <t>Höhere Balldifferenz aus den Spielen der punktgleichen Mannschaften untereinander</t>
  </si>
  <si>
    <t>Losentscheid</t>
  </si>
  <si>
    <t>Die Berechnung bei Punktgleichheit erfolgt gemäß folgender Reihenfolge :</t>
  </si>
  <si>
    <t>Mit freundlichen Grüßen</t>
  </si>
  <si>
    <t>Burkhard</t>
  </si>
  <si>
    <t>0170-4940123</t>
  </si>
  <si>
    <t>04327-140478</t>
  </si>
  <si>
    <t>Bei Fragen und Anregungen stehe ich gerne zur Verfügung</t>
  </si>
  <si>
    <t>Tel.:</t>
  </si>
  <si>
    <t>Handy :</t>
  </si>
  <si>
    <t>email :</t>
  </si>
  <si>
    <t>burkhard_maack@gmx.de</t>
  </si>
  <si>
    <t>Summen</t>
  </si>
  <si>
    <t>Spielklasse Kurzform</t>
  </si>
  <si>
    <t>C / B</t>
  </si>
  <si>
    <t xml:space="preserve"> - </t>
  </si>
  <si>
    <t>Spielberichte ausfüllen</t>
  </si>
  <si>
    <t>für die Spiele</t>
  </si>
  <si>
    <t>von</t>
  </si>
  <si>
    <t>bis</t>
  </si>
  <si>
    <t>max 18 Spiele</t>
  </si>
  <si>
    <t>Für die Spielkarten bedarf es dem Eintrag der Spielnummern in die beiden grünen Felder.</t>
  </si>
  <si>
    <t>Es sollten immer das erste und das letzte benötigte Spiel dort eingetragen werden.</t>
  </si>
  <si>
    <t>Bitte erst durchlesen, und dann meckern ;-)</t>
  </si>
  <si>
    <t xml:space="preserve">Nach Eingabe aller Informationen, wird der Spielplan, die Spielkarten, Tabelle, </t>
  </si>
  <si>
    <t>Urkunden und Ausrichterkontrollbogen automatisch mit den Daten gefüllt.</t>
  </si>
  <si>
    <t>Die nicht benötigten Spielkarten werden ausgeblendet.</t>
  </si>
  <si>
    <t>Beim Drucken werden auch leere Blätter am Ende mit ausgeworfen,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</si>
  <si>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</si>
  <si>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</si>
  <si>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</si>
  <si>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</si>
  <si>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</si>
  <si>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</si>
  <si>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</si>
  <si>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Ansprechpartner 1</t>
  </si>
  <si>
    <t>Ansprechpartner 2</t>
  </si>
  <si>
    <t>Ansprechpartner 3</t>
  </si>
  <si>
    <t>Telefonnummer 1</t>
  </si>
  <si>
    <t>Telefonnummer 2</t>
  </si>
  <si>
    <t>Telefonnummer 3</t>
  </si>
  <si>
    <t>1. Spieltag</t>
  </si>
  <si>
    <t>3. Spieltag</t>
  </si>
  <si>
    <t>bei den entsprechenden Mannschaften anzupassen.</t>
  </si>
  <si>
    <r>
      <t xml:space="preserve">Wenn die Tabelle Einträge </t>
    </r>
    <r>
      <rPr>
        <b/>
        <sz val="10"/>
        <color indexed="10"/>
        <rFont val="Arial"/>
        <family val="2"/>
      </rPr>
      <t>#NV</t>
    </r>
    <r>
      <rPr>
        <b/>
        <sz val="10"/>
        <rFont val="Arial"/>
        <family val="2"/>
      </rPr>
      <t xml:space="preserve"> enthält, ist die Platzierung  nach Losung</t>
    </r>
  </si>
  <si>
    <t>Name Staffelleiter/in</t>
  </si>
  <si>
    <t>Kurzform Spielklasse</t>
  </si>
  <si>
    <t>Beschreibung Spielklasse</t>
  </si>
  <si>
    <t>Meistertitel</t>
  </si>
  <si>
    <t>Saisonbezeichnung</t>
  </si>
  <si>
    <t>Vers_2_0</t>
  </si>
  <si>
    <t>Fehler beseitigt</t>
  </si>
  <si>
    <t>Fehler / Verbesserungen</t>
  </si>
  <si>
    <t>wenn weniger als 18 Spielberichte benötigt werden.</t>
  </si>
  <si>
    <t xml:space="preserve"> Ich arbeite dran !</t>
  </si>
  <si>
    <t>Ein Berechnungsfehler führt dazu das die Platzierung für die Mannschaften 5 - 7 in bestimmten Fällen falsch ist</t>
  </si>
  <si>
    <t>Bei mehreren Mannschaften aus einem Verein, kommt es zu Begegnungen die vom eigenen Verein geschiedst werden</t>
  </si>
  <si>
    <t>Datum eintragen</t>
  </si>
  <si>
    <t>Spielort 1 eintragen</t>
  </si>
  <si>
    <t>Straße eintragen</t>
  </si>
  <si>
    <t>Spielort 2 eintragen</t>
  </si>
  <si>
    <t>Spielort 3 eintragen</t>
  </si>
  <si>
    <t>Straße einntragen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</si>
</sst>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7" formatCode="d/\ mmmm\ yyyy"/>
    <numFmt numFmtId="168" formatCode="h:mm"/>
    <numFmt numFmtId="172" formatCode="h:mm:ss"/>
    <numFmt numFmtId="174" formatCode="0.000"/>
    <numFmt numFmtId="176" formatCode="0.00000000"/>
    <numFmt numFmtId="177" formatCode="0.0000"/>
    <numFmt numFmtId="178" formatCode="0.0000000"/>
    <numFmt numFmtId="179" formatCode="dd/mm/yy"/>
    <numFmt numFmtId="180" formatCode=";;;"/>
    <numFmt numFmtId="181" formatCode="h:mm;@"/>
  </numFmts>
  <fonts count="3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67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1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72" fontId="2" fillId="3" borderId="1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0" fillId="0" borderId="0" xfId="0" applyAlignment="1"/>
    <xf numFmtId="20" fontId="4" fillId="2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2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13" fillId="0" borderId="4" xfId="0" applyFont="1" applyBorder="1"/>
    <xf numFmtId="0" fontId="0" fillId="0" borderId="4" xfId="0" applyBorder="1"/>
    <xf numFmtId="0" fontId="14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2" fillId="0" borderId="8" xfId="0" applyFont="1" applyBorder="1"/>
    <xf numFmtId="0" fontId="0" fillId="0" borderId="9" xfId="0" applyBorder="1"/>
    <xf numFmtId="0" fontId="15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14" fillId="0" borderId="0" xfId="0" applyFont="1" applyBorder="1"/>
    <xf numFmtId="0" fontId="0" fillId="0" borderId="12" xfId="0" applyBorder="1"/>
    <xf numFmtId="0" fontId="14" fillId="0" borderId="7" xfId="0" applyFont="1" applyBorder="1"/>
    <xf numFmtId="0" fontId="0" fillId="0" borderId="13" xfId="0" applyBorder="1"/>
    <xf numFmtId="0" fontId="14" fillId="0" borderId="5" xfId="0" applyFont="1" applyBorder="1"/>
    <xf numFmtId="0" fontId="0" fillId="0" borderId="14" xfId="0" applyBorder="1"/>
    <xf numFmtId="0" fontId="1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9" fillId="0" borderId="6" xfId="0" applyFont="1" applyBorder="1"/>
    <xf numFmtId="0" fontId="1" fillId="0" borderId="6" xfId="0" applyFont="1" applyBorder="1"/>
    <xf numFmtId="0" fontId="1" fillId="0" borderId="12" xfId="0" applyFont="1" applyBorder="1"/>
    <xf numFmtId="0" fontId="20" fillId="0" borderId="7" xfId="0" applyFont="1" applyBorder="1" applyAlignment="1">
      <alignment vertical="top"/>
    </xf>
    <xf numFmtId="0" fontId="12" fillId="0" borderId="7" xfId="0" applyFont="1" applyBorder="1"/>
    <xf numFmtId="0" fontId="14" fillId="0" borderId="3" xfId="0" applyFont="1" applyBorder="1"/>
    <xf numFmtId="0" fontId="0" fillId="0" borderId="21" xfId="0" applyBorder="1"/>
    <xf numFmtId="0" fontId="2" fillId="0" borderId="21" xfId="0" applyFont="1" applyBorder="1"/>
    <xf numFmtId="0" fontId="0" fillId="0" borderId="22" xfId="0" applyBorder="1"/>
    <xf numFmtId="0" fontId="1" fillId="0" borderId="15" xfId="0" applyFont="1" applyBorder="1"/>
    <xf numFmtId="0" fontId="21" fillId="0" borderId="16" xfId="0" applyFont="1" applyBorder="1"/>
    <xf numFmtId="0" fontId="0" fillId="0" borderId="23" xfId="0" applyBorder="1"/>
    <xf numFmtId="0" fontId="22" fillId="0" borderId="23" xfId="0" applyFont="1" applyBorder="1"/>
    <xf numFmtId="0" fontId="22" fillId="0" borderId="5" xfId="0" applyFont="1" applyBorder="1"/>
    <xf numFmtId="0" fontId="21" fillId="0" borderId="6" xfId="0" applyFont="1" applyBorder="1"/>
    <xf numFmtId="0" fontId="1" fillId="0" borderId="0" xfId="0" applyFont="1" applyBorder="1"/>
    <xf numFmtId="0" fontId="22" fillId="0" borderId="0" xfId="0" applyFont="1" applyBorder="1"/>
    <xf numFmtId="0" fontId="21" fillId="0" borderId="0" xfId="0" applyFont="1" applyBorder="1"/>
    <xf numFmtId="174" fontId="5" fillId="0" borderId="0" xfId="0" applyNumberFormat="1" applyFont="1" applyAlignment="1">
      <alignment horizontal="center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172" fontId="2" fillId="4" borderId="24" xfId="0" applyNumberFormat="1" applyFont="1" applyFill="1" applyBorder="1" applyAlignment="1" applyProtection="1">
      <alignment horizontal="center"/>
      <protection locked="0"/>
    </xf>
    <xf numFmtId="172" fontId="2" fillId="4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6" fillId="0" borderId="0" xfId="0" applyFont="1" applyFill="1" applyProtection="1"/>
    <xf numFmtId="0" fontId="4" fillId="0" borderId="1" xfId="0" applyFont="1" applyFill="1" applyBorder="1" applyProtection="1"/>
    <xf numFmtId="0" fontId="4" fillId="0" borderId="0" xfId="0" applyFont="1" applyFill="1" applyProtection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74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3" borderId="1" xfId="0" applyFont="1" applyFill="1" applyBorder="1" applyAlignment="1" applyProtection="1">
      <alignment horizontal="center"/>
    </xf>
    <xf numFmtId="174" fontId="2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26" fillId="0" borderId="7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23" fillId="0" borderId="0" xfId="0" applyFont="1"/>
    <xf numFmtId="0" fontId="24" fillId="0" borderId="0" xfId="0" applyFont="1"/>
    <xf numFmtId="0" fontId="26" fillId="0" borderId="3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4" fillId="0" borderId="0" xfId="0" applyFont="1" applyAlignment="1"/>
    <xf numFmtId="0" fontId="26" fillId="5" borderId="3" xfId="0" applyFont="1" applyFill="1" applyBorder="1" applyAlignment="1">
      <alignment wrapText="1"/>
    </xf>
    <xf numFmtId="0" fontId="26" fillId="5" borderId="4" xfId="0" applyFont="1" applyFill="1" applyBorder="1" applyAlignment="1">
      <alignment wrapText="1"/>
    </xf>
    <xf numFmtId="0" fontId="26" fillId="5" borderId="10" xfId="0" applyFont="1" applyFill="1" applyBorder="1" applyAlignment="1">
      <alignment wrapText="1"/>
    </xf>
    <xf numFmtId="0" fontId="24" fillId="5" borderId="10" xfId="0" applyFont="1" applyFill="1" applyBorder="1" applyAlignment="1">
      <alignment horizontal="center"/>
    </xf>
    <xf numFmtId="0" fontId="26" fillId="5" borderId="9" xfId="0" applyFont="1" applyFill="1" applyBorder="1" applyAlignment="1">
      <alignment horizontal="center" wrapText="1"/>
    </xf>
    <xf numFmtId="0" fontId="26" fillId="5" borderId="25" xfId="0" applyFont="1" applyFill="1" applyBorder="1" applyAlignment="1">
      <alignment wrapText="1"/>
    </xf>
    <xf numFmtId="0" fontId="26" fillId="5" borderId="26" xfId="0" applyFont="1" applyFill="1" applyBorder="1" applyAlignment="1">
      <alignment wrapText="1"/>
    </xf>
    <xf numFmtId="0" fontId="26" fillId="5" borderId="27" xfId="0" applyFont="1" applyFill="1" applyBorder="1" applyAlignment="1">
      <alignment wrapText="1"/>
    </xf>
    <xf numFmtId="0" fontId="26" fillId="5" borderId="27" xfId="0" applyFont="1" applyFill="1" applyBorder="1" applyAlignment="1">
      <alignment horizontal="center" wrapText="1"/>
    </xf>
    <xf numFmtId="0" fontId="26" fillId="5" borderId="28" xfId="0" applyFont="1" applyFill="1" applyBorder="1" applyAlignment="1">
      <alignment horizontal="center" wrapText="1"/>
    </xf>
    <xf numFmtId="0" fontId="26" fillId="5" borderId="7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>
      <alignment wrapText="1"/>
    </xf>
    <xf numFmtId="0" fontId="27" fillId="5" borderId="8" xfId="0" applyFont="1" applyFill="1" applyBorder="1" applyAlignment="1">
      <alignment horizontal="center" wrapText="1"/>
    </xf>
    <xf numFmtId="0" fontId="27" fillId="5" borderId="29" xfId="0" applyFont="1" applyFill="1" applyBorder="1" applyAlignment="1">
      <alignment horizontal="center" wrapText="1"/>
    </xf>
    <xf numFmtId="0" fontId="27" fillId="5" borderId="30" xfId="0" applyFont="1" applyFill="1" applyBorder="1" applyAlignment="1">
      <alignment horizontal="center" wrapText="1"/>
    </xf>
    <xf numFmtId="0" fontId="27" fillId="5" borderId="31" xfId="0" applyFont="1" applyFill="1" applyBorder="1" applyAlignment="1">
      <alignment horizontal="center" wrapText="1"/>
    </xf>
    <xf numFmtId="0" fontId="27" fillId="5" borderId="11" xfId="0" applyFont="1" applyFill="1" applyBorder="1" applyAlignment="1">
      <alignment horizontal="center" wrapText="1"/>
    </xf>
    <xf numFmtId="0" fontId="27" fillId="5" borderId="32" xfId="0" applyFont="1" applyFill="1" applyBorder="1" applyAlignment="1">
      <alignment horizontal="center" wrapText="1"/>
    </xf>
    <xf numFmtId="0" fontId="27" fillId="5" borderId="27" xfId="0" applyFont="1" applyFill="1" applyBorder="1" applyAlignment="1">
      <alignment horizontal="center" wrapText="1"/>
    </xf>
    <xf numFmtId="0" fontId="27" fillId="5" borderId="33" xfId="0" applyFont="1" applyFill="1" applyBorder="1" applyAlignment="1">
      <alignment horizontal="center" wrapText="1"/>
    </xf>
    <xf numFmtId="0" fontId="27" fillId="5" borderId="34" xfId="0" applyFont="1" applyFill="1" applyBorder="1" applyAlignment="1">
      <alignment horizontal="center" wrapText="1"/>
    </xf>
    <xf numFmtId="0" fontId="27" fillId="5" borderId="35" xfId="0" applyFont="1" applyFill="1" applyBorder="1" applyAlignment="1">
      <alignment horizontal="center" wrapText="1"/>
    </xf>
    <xf numFmtId="0" fontId="27" fillId="5" borderId="36" xfId="0" applyFont="1" applyFill="1" applyBorder="1" applyAlignment="1">
      <alignment horizontal="center" wrapText="1"/>
    </xf>
    <xf numFmtId="0" fontId="27" fillId="5" borderId="28" xfId="0" applyFont="1" applyFill="1" applyBorder="1" applyAlignment="1">
      <alignment horizontal="center" wrapText="1"/>
    </xf>
    <xf numFmtId="0" fontId="26" fillId="0" borderId="0" xfId="0" applyFont="1"/>
    <xf numFmtId="0" fontId="26" fillId="0" borderId="0" xfId="0" applyFont="1" applyBorder="1" applyAlignment="1">
      <alignment horizontal="center" wrapText="1"/>
    </xf>
    <xf numFmtId="0" fontId="26" fillId="0" borderId="7" xfId="0" applyFont="1" applyBorder="1" applyAlignment="1">
      <alignment horizontal="left" indent="1"/>
    </xf>
    <xf numFmtId="0" fontId="26" fillId="0" borderId="0" xfId="0" applyFont="1" applyBorder="1" applyAlignment="1">
      <alignment horizontal="left" indent="1"/>
    </xf>
    <xf numFmtId="0" fontId="26" fillId="0" borderId="8" xfId="0" applyFont="1" applyBorder="1" applyAlignment="1">
      <alignment horizontal="left" indent="1"/>
    </xf>
    <xf numFmtId="0" fontId="26" fillId="0" borderId="0" xfId="0" applyFont="1" applyAlignment="1"/>
    <xf numFmtId="0" fontId="26" fillId="0" borderId="0" xfId="0" applyFont="1" applyBorder="1" applyAlignment="1"/>
    <xf numFmtId="0" fontId="26" fillId="0" borderId="8" xfId="0" applyFont="1" applyBorder="1" applyAlignment="1"/>
    <xf numFmtId="0" fontId="29" fillId="0" borderId="7" xfId="0" applyFont="1" applyBorder="1" applyAlignment="1">
      <alignment horizontal="left" wrapText="1" indent="1"/>
    </xf>
    <xf numFmtId="0" fontId="29" fillId="0" borderId="0" xfId="0" applyFont="1" applyBorder="1" applyAlignment="1">
      <alignment horizontal="left" wrapText="1" indent="1"/>
    </xf>
    <xf numFmtId="0" fontId="29" fillId="0" borderId="8" xfId="0" applyFont="1" applyBorder="1" applyAlignment="1">
      <alignment horizontal="left" wrapText="1" indent="1"/>
    </xf>
    <xf numFmtId="0" fontId="26" fillId="0" borderId="6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5" borderId="27" xfId="0" applyFont="1" applyFill="1" applyBorder="1" applyAlignment="1">
      <alignment horizontal="left" wrapText="1"/>
    </xf>
    <xf numFmtId="0" fontId="26" fillId="5" borderId="25" xfId="0" applyFont="1" applyFill="1" applyBorder="1" applyAlignment="1">
      <alignment horizontal="right" wrapText="1"/>
    </xf>
    <xf numFmtId="0" fontId="2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14" fillId="0" borderId="2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26" fillId="0" borderId="41" xfId="0" applyFont="1" applyBorder="1" applyAlignment="1" applyProtection="1">
      <alignment wrapText="1"/>
      <protection locked="0"/>
    </xf>
    <xf numFmtId="0" fontId="26" fillId="0" borderId="42" xfId="0" applyFont="1" applyBorder="1" applyAlignment="1" applyProtection="1">
      <alignment wrapText="1"/>
      <protection locked="0"/>
    </xf>
    <xf numFmtId="0" fontId="26" fillId="0" borderId="1" xfId="0" applyFont="1" applyBorder="1" applyAlignment="1" applyProtection="1">
      <alignment wrapText="1"/>
      <protection locked="0"/>
    </xf>
    <xf numFmtId="0" fontId="26" fillId="0" borderId="43" xfId="0" applyFont="1" applyBorder="1" applyAlignment="1" applyProtection="1">
      <alignment wrapText="1"/>
      <protection locked="0"/>
    </xf>
    <xf numFmtId="0" fontId="26" fillId="0" borderId="44" xfId="0" applyFont="1" applyBorder="1" applyAlignment="1" applyProtection="1">
      <alignment wrapText="1"/>
      <protection locked="0"/>
    </xf>
    <xf numFmtId="0" fontId="26" fillId="0" borderId="45" xfId="0" applyFont="1" applyBorder="1" applyAlignment="1" applyProtection="1">
      <alignment wrapText="1"/>
      <protection locked="0"/>
    </xf>
    <xf numFmtId="0" fontId="26" fillId="0" borderId="39" xfId="0" applyFont="1" applyBorder="1" applyAlignment="1" applyProtection="1">
      <alignment wrapText="1"/>
      <protection locked="0"/>
    </xf>
    <xf numFmtId="0" fontId="26" fillId="0" borderId="46" xfId="0" applyFont="1" applyBorder="1" applyAlignment="1" applyProtection="1">
      <alignment wrapText="1"/>
      <protection locked="0"/>
    </xf>
    <xf numFmtId="0" fontId="26" fillId="0" borderId="47" xfId="0" applyFont="1" applyBorder="1" applyAlignment="1" applyProtection="1">
      <alignment wrapText="1"/>
      <protection locked="0"/>
    </xf>
    <xf numFmtId="0" fontId="26" fillId="0" borderId="48" xfId="0" applyFont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3" fillId="0" borderId="0" xfId="0" applyFont="1"/>
    <xf numFmtId="0" fontId="6" fillId="0" borderId="0" xfId="0" applyFont="1"/>
    <xf numFmtId="0" fontId="9" fillId="0" borderId="0" xfId="1" applyAlignment="1" applyProtection="1"/>
    <xf numFmtId="177" fontId="4" fillId="0" borderId="0" xfId="0" applyNumberFormat="1" applyFont="1" applyFill="1" applyAlignment="1" applyProtection="1">
      <alignment horizontal="center"/>
      <protection hidden="1"/>
    </xf>
    <xf numFmtId="177" fontId="2" fillId="0" borderId="0" xfId="0" applyNumberFormat="1" applyFont="1" applyProtection="1">
      <protection hidden="1"/>
    </xf>
    <xf numFmtId="0" fontId="2" fillId="0" borderId="1" xfId="0" applyFont="1" applyBorder="1" applyProtection="1">
      <protection hidden="1"/>
    </xf>
    <xf numFmtId="177" fontId="2" fillId="0" borderId="1" xfId="0" applyNumberFormat="1" applyFont="1" applyBorder="1" applyProtection="1">
      <protection hidden="1"/>
    </xf>
    <xf numFmtId="0" fontId="2" fillId="0" borderId="1" xfId="0" applyFont="1" applyFill="1" applyBorder="1" applyProtection="1">
      <protection hidden="1"/>
    </xf>
    <xf numFmtId="177" fontId="2" fillId="0" borderId="1" xfId="0" applyNumberFormat="1" applyFont="1" applyFill="1" applyBorder="1" applyProtection="1">
      <protection hidden="1"/>
    </xf>
    <xf numFmtId="176" fontId="5" fillId="0" borderId="1" xfId="0" applyNumberFormat="1" applyFont="1" applyBorder="1" applyProtection="1">
      <protection hidden="1"/>
    </xf>
    <xf numFmtId="177" fontId="5" fillId="0" borderId="1" xfId="0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177" fontId="5" fillId="0" borderId="1" xfId="0" applyNumberFormat="1" applyFont="1" applyFill="1" applyBorder="1"/>
    <xf numFmtId="178" fontId="4" fillId="0" borderId="0" xfId="0" applyNumberFormat="1" applyFont="1" applyFill="1" applyAlignment="1" applyProtection="1">
      <alignment horizontal="center"/>
      <protection hidden="1"/>
    </xf>
    <xf numFmtId="178" fontId="2" fillId="0" borderId="0" xfId="0" applyNumberFormat="1" applyFont="1" applyProtection="1">
      <protection hidden="1"/>
    </xf>
    <xf numFmtId="178" fontId="2" fillId="0" borderId="1" xfId="0" applyNumberFormat="1" applyFont="1" applyBorder="1" applyProtection="1">
      <protection hidden="1"/>
    </xf>
    <xf numFmtId="178" fontId="5" fillId="0" borderId="1" xfId="0" applyNumberFormat="1" applyFont="1" applyBorder="1" applyProtection="1">
      <protection hidden="1"/>
    </xf>
    <xf numFmtId="178" fontId="2" fillId="0" borderId="1" xfId="0" applyNumberFormat="1" applyFont="1" applyFill="1" applyBorder="1" applyProtection="1">
      <protection hidden="1"/>
    </xf>
    <xf numFmtId="179" fontId="4" fillId="0" borderId="0" xfId="0" applyNumberFormat="1" applyFont="1" applyFill="1"/>
    <xf numFmtId="179" fontId="6" fillId="0" borderId="0" xfId="0" applyNumberFormat="1" applyFont="1" applyFill="1"/>
    <xf numFmtId="179" fontId="3" fillId="0" borderId="1" xfId="0" applyNumberFormat="1" applyFont="1" applyFill="1" applyBorder="1" applyAlignment="1">
      <alignment horizontal="center"/>
    </xf>
    <xf numFmtId="179" fontId="4" fillId="2" borderId="1" xfId="0" applyNumberFormat="1" applyFont="1" applyFill="1" applyBorder="1" applyAlignment="1">
      <alignment horizontal="center"/>
    </xf>
    <xf numFmtId="179" fontId="4" fillId="0" borderId="1" xfId="0" applyNumberFormat="1" applyFont="1" applyFill="1" applyBorder="1" applyAlignment="1">
      <alignment horizontal="center"/>
    </xf>
    <xf numFmtId="179" fontId="4" fillId="0" borderId="0" xfId="0" applyNumberFormat="1" applyFont="1" applyFill="1" applyAlignment="1">
      <alignment horizontal="center"/>
    </xf>
    <xf numFmtId="179" fontId="6" fillId="0" borderId="0" xfId="0" applyNumberFormat="1" applyFont="1" applyFill="1" applyAlignment="1">
      <alignment horizontal="left"/>
    </xf>
    <xf numFmtId="180" fontId="4" fillId="0" borderId="1" xfId="0" applyNumberFormat="1" applyFont="1" applyFill="1" applyBorder="1" applyAlignment="1">
      <alignment horizontal="center" vertical="top"/>
    </xf>
    <xf numFmtId="180" fontId="4" fillId="0" borderId="1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4" fillId="0" borderId="0" xfId="0" applyFont="1"/>
    <xf numFmtId="180" fontId="0" fillId="0" borderId="0" xfId="0" applyNumberFormat="1"/>
    <xf numFmtId="0" fontId="0" fillId="0" borderId="0" xfId="0" applyNumberFormat="1"/>
    <xf numFmtId="0" fontId="34" fillId="0" borderId="0" xfId="0" applyFont="1"/>
    <xf numFmtId="0" fontId="4" fillId="0" borderId="0" xfId="0" applyFont="1"/>
    <xf numFmtId="0" fontId="17" fillId="0" borderId="0" xfId="0" applyFont="1" applyFill="1" applyAlignment="1">
      <alignment horizontal="left"/>
    </xf>
    <xf numFmtId="14" fontId="17" fillId="0" borderId="0" xfId="0" applyNumberFormat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14" fillId="4" borderId="1" xfId="0" applyFont="1" applyFill="1" applyBorder="1" applyAlignment="1" applyProtection="1">
      <alignment horizontal="center"/>
    </xf>
    <xf numFmtId="180" fontId="5" fillId="0" borderId="0" xfId="0" applyNumberFormat="1" applyFont="1"/>
    <xf numFmtId="0" fontId="38" fillId="0" borderId="0" xfId="0" applyFont="1"/>
    <xf numFmtId="178" fontId="5" fillId="4" borderId="1" xfId="0" applyNumberFormat="1" applyFont="1" applyFill="1" applyBorder="1" applyProtection="1">
      <protection hidden="1"/>
    </xf>
    <xf numFmtId="178" fontId="5" fillId="4" borderId="1" xfId="0" applyNumberFormat="1" applyFont="1" applyFill="1" applyBorder="1"/>
    <xf numFmtId="1" fontId="4" fillId="0" borderId="37" xfId="0" applyNumberFormat="1" applyFont="1" applyFill="1" applyBorder="1" applyAlignment="1">
      <alignment horizontal="center"/>
    </xf>
    <xf numFmtId="181" fontId="4" fillId="0" borderId="49" xfId="0" applyNumberFormat="1" applyFont="1" applyFill="1" applyBorder="1" applyAlignment="1" applyProtection="1">
      <alignment horizontal="center" vertical="top"/>
    </xf>
    <xf numFmtId="181" fontId="4" fillId="0" borderId="1" xfId="0" applyNumberFormat="1" applyFont="1" applyFill="1" applyBorder="1" applyAlignment="1">
      <alignment horizontal="center" vertical="top"/>
    </xf>
    <xf numFmtId="181" fontId="4" fillId="2" borderId="50" xfId="0" applyNumberFormat="1" applyFont="1" applyFill="1" applyBorder="1" applyAlignment="1">
      <alignment horizontal="center" vertical="top"/>
    </xf>
    <xf numFmtId="0" fontId="4" fillId="2" borderId="0" xfId="0" applyFont="1" applyFill="1"/>
    <xf numFmtId="181" fontId="4" fillId="2" borderId="49" xfId="0" applyNumberFormat="1" applyFont="1" applyFill="1" applyBorder="1" applyAlignment="1" applyProtection="1">
      <alignment horizontal="center" vertical="top"/>
    </xf>
    <xf numFmtId="0" fontId="4" fillId="2" borderId="49" xfId="0" applyFont="1" applyFill="1" applyBorder="1" applyAlignment="1" applyProtection="1">
      <alignment horizontal="center"/>
    </xf>
    <xf numFmtId="0" fontId="4" fillId="0" borderId="49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4" fillId="0" borderId="24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4" fillId="0" borderId="24" xfId="0" applyFont="1" applyFill="1" applyBorder="1" applyProtection="1"/>
    <xf numFmtId="0" fontId="3" fillId="2" borderId="51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/>
    </xf>
    <xf numFmtId="0" fontId="4" fillId="2" borderId="51" xfId="0" applyFont="1" applyFill="1" applyBorder="1" applyAlignment="1" applyProtection="1">
      <alignment horizontal="center"/>
    </xf>
    <xf numFmtId="0" fontId="4" fillId="2" borderId="51" xfId="0" applyFont="1" applyFill="1" applyBorder="1" applyProtection="1"/>
    <xf numFmtId="0" fontId="3" fillId="0" borderId="51" xfId="0" applyFont="1" applyFill="1" applyBorder="1" applyAlignment="1" applyProtection="1">
      <alignment horizontal="center"/>
    </xf>
    <xf numFmtId="0" fontId="4" fillId="0" borderId="37" xfId="0" applyFont="1" applyFill="1" applyBorder="1" applyAlignment="1" applyProtection="1">
      <alignment horizontal="center"/>
    </xf>
    <xf numFmtId="0" fontId="4" fillId="0" borderId="51" xfId="0" applyFont="1" applyFill="1" applyBorder="1" applyAlignment="1" applyProtection="1">
      <alignment horizontal="center"/>
    </xf>
    <xf numFmtId="0" fontId="4" fillId="0" borderId="51" xfId="0" applyFont="1" applyFill="1" applyBorder="1" applyProtection="1"/>
    <xf numFmtId="0" fontId="12" fillId="4" borderId="1" xfId="0" applyFont="1" applyFill="1" applyBorder="1" applyAlignment="1" applyProtection="1">
      <alignment horizontal="left"/>
      <protection locked="0"/>
    </xf>
    <xf numFmtId="14" fontId="14" fillId="4" borderId="49" xfId="0" applyNumberFormat="1" applyFont="1" applyFill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7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protection hidden="1"/>
    </xf>
    <xf numFmtId="0" fontId="0" fillId="0" borderId="51" xfId="0" applyBorder="1" applyAlignment="1"/>
    <xf numFmtId="0" fontId="0" fillId="0" borderId="37" xfId="0" applyBorder="1" applyAlignment="1"/>
    <xf numFmtId="14" fontId="2" fillId="4" borderId="1" xfId="0" applyNumberFormat="1" applyFont="1" applyFill="1" applyBorder="1" applyAlignment="1" applyProtection="1">
      <alignment horizontal="center"/>
      <protection locked="0"/>
    </xf>
    <xf numFmtId="176" fontId="5" fillId="8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168" fontId="2" fillId="4" borderId="1" xfId="0" applyNumberFormat="1" applyFont="1" applyFill="1" applyBorder="1" applyAlignment="1" applyProtection="1">
      <alignment horizontal="center"/>
      <protection locked="0"/>
    </xf>
    <xf numFmtId="0" fontId="30" fillId="9" borderId="1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wrapText="1"/>
    </xf>
    <xf numFmtId="180" fontId="4" fillId="0" borderId="49" xfId="0" applyNumberFormat="1" applyFont="1" applyFill="1" applyBorder="1" applyAlignment="1">
      <alignment horizontal="center" vertical="top"/>
    </xf>
    <xf numFmtId="180" fontId="0" fillId="0" borderId="51" xfId="0" applyNumberFormat="1" applyFill="1" applyBorder="1" applyAlignment="1"/>
    <xf numFmtId="180" fontId="0" fillId="0" borderId="37" xfId="0" applyNumberFormat="1" applyFill="1" applyBorder="1" applyAlignment="1"/>
    <xf numFmtId="0" fontId="16" fillId="0" borderId="52" xfId="0" applyFont="1" applyBorder="1" applyAlignment="1"/>
    <xf numFmtId="0" fontId="16" fillId="0" borderId="51" xfId="0" applyFont="1" applyBorder="1" applyAlignment="1"/>
    <xf numFmtId="0" fontId="16" fillId="0" borderId="41" xfId="0" applyFont="1" applyBorder="1" applyAlignment="1"/>
    <xf numFmtId="0" fontId="16" fillId="0" borderId="31" xfId="0" applyFont="1" applyBorder="1" applyAlignment="1"/>
    <xf numFmtId="0" fontId="0" fillId="0" borderId="2" xfId="0" applyBorder="1" applyAlignment="1"/>
    <xf numFmtId="0" fontId="0" fillId="0" borderId="53" xfId="0" applyBorder="1" applyAlignment="1"/>
    <xf numFmtId="0" fontId="26" fillId="0" borderId="5" xfId="0" applyFont="1" applyBorder="1" applyAlignment="1">
      <alignment horizontal="left" wrapText="1" indent="1"/>
    </xf>
    <xf numFmtId="0" fontId="26" fillId="0" borderId="6" xfId="0" applyFont="1" applyBorder="1" applyAlignment="1">
      <alignment horizontal="left" wrapText="1" indent="1"/>
    </xf>
    <xf numFmtId="0" fontId="11" fillId="5" borderId="25" xfId="0" applyFont="1" applyFill="1" applyBorder="1" applyAlignment="1">
      <alignment horizontal="center" wrapText="1"/>
    </xf>
    <xf numFmtId="0" fontId="12" fillId="5" borderId="26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26" fillId="0" borderId="7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8" xfId="0" applyFont="1" applyBorder="1" applyAlignment="1">
      <alignment wrapText="1"/>
    </xf>
    <xf numFmtId="0" fontId="16" fillId="0" borderId="7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26" fillId="0" borderId="0" xfId="0" applyFont="1" applyBorder="1" applyAlignment="1" applyProtection="1">
      <alignment horizontal="left" indent="1"/>
      <protection locked="0"/>
    </xf>
    <xf numFmtId="0" fontId="29" fillId="0" borderId="0" xfId="0" applyFont="1" applyBorder="1" applyAlignment="1" applyProtection="1">
      <alignment horizontal="left" indent="1"/>
      <protection locked="0"/>
    </xf>
    <xf numFmtId="0" fontId="16" fillId="0" borderId="39" xfId="0" applyFont="1" applyBorder="1" applyAlignment="1"/>
    <xf numFmtId="0" fontId="0" fillId="0" borderId="46" xfId="0" applyBorder="1" applyAlignment="1"/>
    <xf numFmtId="0" fontId="0" fillId="0" borderId="47" xfId="0" applyBorder="1" applyAlignment="1"/>
    <xf numFmtId="0" fontId="26" fillId="5" borderId="7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>
      <alignment wrapText="1"/>
    </xf>
    <xf numFmtId="0" fontId="23" fillId="0" borderId="0" xfId="0" applyFont="1" applyAlignment="1">
      <alignment horizontal="center" vertical="center"/>
    </xf>
    <xf numFmtId="0" fontId="26" fillId="5" borderId="3" xfId="0" applyFont="1" applyFill="1" applyBorder="1" applyAlignment="1">
      <alignment horizontal="center" wrapText="1"/>
    </xf>
    <xf numFmtId="0" fontId="26" fillId="5" borderId="10" xfId="0" applyFont="1" applyFill="1" applyBorder="1" applyAlignment="1">
      <alignment horizontal="center" wrapText="1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9" fillId="0" borderId="7" xfId="0" applyFont="1" applyBorder="1" applyAlignment="1">
      <alignment horizontal="left" wrapText="1" indent="1"/>
    </xf>
    <xf numFmtId="0" fontId="29" fillId="0" borderId="0" xfId="0" applyFont="1" applyBorder="1" applyAlignment="1">
      <alignment horizontal="left" wrapText="1" indent="1"/>
    </xf>
    <xf numFmtId="0" fontId="29" fillId="0" borderId="8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28" fillId="5" borderId="25" xfId="0" applyFont="1" applyFill="1" applyBorder="1" applyAlignment="1">
      <alignment wrapText="1"/>
    </xf>
    <xf numFmtId="0" fontId="28" fillId="5" borderId="26" xfId="0" applyFont="1" applyFill="1" applyBorder="1" applyAlignment="1">
      <alignment wrapText="1"/>
    </xf>
    <xf numFmtId="0" fontId="28" fillId="5" borderId="27" xfId="0" applyFont="1" applyFill="1" applyBorder="1" applyAlignment="1">
      <alignment wrapText="1"/>
    </xf>
    <xf numFmtId="0" fontId="14" fillId="0" borderId="9" xfId="0" applyFont="1" applyBorder="1" applyAlignment="1">
      <alignment horizontal="center" textRotation="90"/>
    </xf>
    <xf numFmtId="0" fontId="14" fillId="0" borderId="13" xfId="0" applyFont="1" applyBorder="1" applyAlignment="1">
      <alignment horizont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4" xfId="0" applyBorder="1" applyAlignment="1"/>
    <xf numFmtId="0" fontId="0" fillId="0" borderId="18" xfId="0" applyBorder="1" applyAlignment="1"/>
    <xf numFmtId="0" fontId="0" fillId="0" borderId="9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10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" fontId="2" fillId="0" borderId="5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6" xfId="0" applyBorder="1" applyAlignment="1"/>
    <xf numFmtId="0" fontId="0" fillId="0" borderId="12" xfId="0" applyBorder="1" applyAlignment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8" fontId="2" fillId="0" borderId="4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horizontal="center" textRotation="90"/>
    </xf>
    <xf numFmtId="0" fontId="14" fillId="0" borderId="5" xfId="0" applyFont="1" applyBorder="1" applyAlignment="1">
      <alignment horizontal="center" textRotation="90"/>
    </xf>
  </cellXfs>
  <cellStyles count="2">
    <cellStyle name="Link" xfId="1" builtinId="8"/>
    <cellStyle name="Standard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47625</xdr:rowOff>
    </xdr:from>
    <xdr:to>
      <xdr:col>15</xdr:col>
      <xdr:colOff>533400</xdr:colOff>
      <xdr:row>0</xdr:row>
      <xdr:rowOff>838200</xdr:rowOff>
    </xdr:to>
    <xdr:pic>
      <xdr:nvPicPr>
        <xdr:cNvPr id="2260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7625"/>
          <a:ext cx="952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161925</xdr:rowOff>
    </xdr:from>
    <xdr:to>
      <xdr:col>1</xdr:col>
      <xdr:colOff>1076325</xdr:colOff>
      <xdr:row>0</xdr:row>
      <xdr:rowOff>809625</xdr:rowOff>
    </xdr:to>
    <xdr:pic>
      <xdr:nvPicPr>
        <xdr:cNvPr id="22607" name="Picture 5" descr="Ker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1304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5</xdr:col>
      <xdr:colOff>19050</xdr:colOff>
      <xdr:row>1</xdr:row>
      <xdr:rowOff>333375</xdr:rowOff>
    </xdr:to>
    <xdr:pic>
      <xdr:nvPicPr>
        <xdr:cNvPr id="21515" name="Picture 2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524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57150</xdr:colOff>
      <xdr:row>0</xdr:row>
      <xdr:rowOff>38100</xdr:rowOff>
    </xdr:from>
    <xdr:to>
      <xdr:col>31</xdr:col>
      <xdr:colOff>190500</xdr:colOff>
      <xdr:row>2</xdr:row>
      <xdr:rowOff>219075</xdr:rowOff>
    </xdr:to>
    <xdr:pic>
      <xdr:nvPicPr>
        <xdr:cNvPr id="215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38100"/>
          <a:ext cx="14763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68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khard_maack@gmx.d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51"/>
  <sheetViews>
    <sheetView workbookViewId="0"/>
  </sheetViews>
  <sheetFormatPr baseColWidth="10" defaultColWidth="11.5703125" defaultRowHeight="15.75" x14ac:dyDescent="0.25"/>
  <cols>
    <col min="1" max="16384" width="11.5703125" style="217"/>
  </cols>
  <sheetData>
    <row r="1" spans="1:1" ht="20.25" x14ac:dyDescent="0.3">
      <c r="A1" s="218" t="s">
        <v>113</v>
      </c>
    </row>
    <row r="2" spans="1:1" ht="20.25" x14ac:dyDescent="0.3">
      <c r="A2" s="218" t="s">
        <v>155</v>
      </c>
    </row>
    <row r="4" spans="1:1" x14ac:dyDescent="0.25">
      <c r="A4" s="217" t="s">
        <v>114</v>
      </c>
    </row>
    <row r="6" spans="1:1" x14ac:dyDescent="0.25">
      <c r="A6" s="217" t="s">
        <v>116</v>
      </c>
    </row>
    <row r="8" spans="1:1" ht="18" x14ac:dyDescent="0.25">
      <c r="A8" s="250" t="s">
        <v>118</v>
      </c>
    </row>
    <row r="9" spans="1:1" ht="18" x14ac:dyDescent="0.25">
      <c r="A9" s="250" t="s">
        <v>117</v>
      </c>
    </row>
    <row r="11" spans="1:1" x14ac:dyDescent="0.25">
      <c r="A11" s="217" t="s">
        <v>156</v>
      </c>
    </row>
    <row r="12" spans="1:1" x14ac:dyDescent="0.25">
      <c r="A12" s="217" t="s">
        <v>157</v>
      </c>
    </row>
    <row r="14" spans="1:1" x14ac:dyDescent="0.25">
      <c r="A14" s="217" t="s">
        <v>119</v>
      </c>
    </row>
    <row r="15" spans="1:1" x14ac:dyDescent="0.25">
      <c r="A15" s="217" t="s">
        <v>120</v>
      </c>
    </row>
    <row r="17" spans="1:2" x14ac:dyDescent="0.25">
      <c r="A17" s="217" t="s">
        <v>153</v>
      </c>
    </row>
    <row r="18" spans="1:2" x14ac:dyDescent="0.25">
      <c r="A18" s="217" t="s">
        <v>154</v>
      </c>
    </row>
    <row r="19" spans="1:2" s="251" customFormat="1" ht="15" x14ac:dyDescent="0.2">
      <c r="A19" s="251" t="s">
        <v>158</v>
      </c>
    </row>
    <row r="21" spans="1:2" x14ac:dyDescent="0.25">
      <c r="A21" s="217" t="s">
        <v>121</v>
      </c>
    </row>
    <row r="23" spans="1:2" x14ac:dyDescent="0.25">
      <c r="A23" s="217" t="s">
        <v>134</v>
      </c>
    </row>
    <row r="25" spans="1:2" s="251" customFormat="1" ht="15" x14ac:dyDescent="0.2">
      <c r="A25" s="251" t="s">
        <v>109</v>
      </c>
      <c r="B25" s="251" t="s">
        <v>122</v>
      </c>
    </row>
    <row r="26" spans="1:2" s="251" customFormat="1" ht="15" x14ac:dyDescent="0.2">
      <c r="A26" s="251" t="s">
        <v>124</v>
      </c>
      <c r="B26" s="251" t="s">
        <v>129</v>
      </c>
    </row>
    <row r="27" spans="1:2" s="251" customFormat="1" ht="15" x14ac:dyDescent="0.2">
      <c r="A27" s="251" t="s">
        <v>110</v>
      </c>
      <c r="B27" s="251" t="s">
        <v>123</v>
      </c>
    </row>
    <row r="28" spans="1:2" s="251" customFormat="1" ht="15" x14ac:dyDescent="0.2">
      <c r="A28" s="251" t="s">
        <v>125</v>
      </c>
      <c r="B28" s="251" t="s">
        <v>130</v>
      </c>
    </row>
    <row r="29" spans="1:2" s="251" customFormat="1" ht="15" x14ac:dyDescent="0.2">
      <c r="A29" s="251" t="s">
        <v>126</v>
      </c>
      <c r="B29" s="251" t="s">
        <v>131</v>
      </c>
    </row>
    <row r="30" spans="1:2" s="251" customFormat="1" ht="15" x14ac:dyDescent="0.2">
      <c r="A30" s="251" t="s">
        <v>127</v>
      </c>
      <c r="B30" s="251" t="s">
        <v>132</v>
      </c>
    </row>
    <row r="31" spans="1:2" s="251" customFormat="1" ht="15" x14ac:dyDescent="0.2">
      <c r="A31" s="251" t="s">
        <v>128</v>
      </c>
      <c r="B31" s="251" t="s">
        <v>133</v>
      </c>
    </row>
    <row r="33" spans="1:2" x14ac:dyDescent="0.25">
      <c r="A33" s="217" t="s">
        <v>139</v>
      </c>
    </row>
    <row r="35" spans="1:2" x14ac:dyDescent="0.25">
      <c r="A35" s="217" t="s">
        <v>135</v>
      </c>
    </row>
    <row r="36" spans="1:2" x14ac:dyDescent="0.25">
      <c r="A36" s="217" t="s">
        <v>136</v>
      </c>
    </row>
    <row r="37" spans="1:2" x14ac:dyDescent="0.25">
      <c r="A37" s="217" t="s">
        <v>140</v>
      </c>
      <c r="B37" s="217" t="s">
        <v>138</v>
      </c>
    </row>
    <row r="38" spans="1:2" x14ac:dyDescent="0.25">
      <c r="A38" s="217" t="s">
        <v>141</v>
      </c>
      <c r="B38" s="217" t="s">
        <v>137</v>
      </c>
    </row>
    <row r="39" spans="1:2" x14ac:dyDescent="0.25">
      <c r="A39" s="217" t="s">
        <v>142</v>
      </c>
      <c r="B39" s="219" t="s">
        <v>143</v>
      </c>
    </row>
    <row r="42" spans="1:2" x14ac:dyDescent="0.25">
      <c r="A42" s="217" t="s">
        <v>184</v>
      </c>
    </row>
    <row r="43" spans="1:2" x14ac:dyDescent="0.25">
      <c r="A43" s="217" t="s">
        <v>182</v>
      </c>
      <c r="B43" s="258" t="s">
        <v>187</v>
      </c>
    </row>
    <row r="44" spans="1:2" x14ac:dyDescent="0.25">
      <c r="B44" s="217" t="s">
        <v>183</v>
      </c>
    </row>
    <row r="46" spans="1:2" x14ac:dyDescent="0.25">
      <c r="B46" s="258" t="s">
        <v>159</v>
      </c>
    </row>
    <row r="47" spans="1:2" x14ac:dyDescent="0.25">
      <c r="B47" s="258" t="s">
        <v>185</v>
      </c>
    </row>
    <row r="48" spans="1:2" x14ac:dyDescent="0.25">
      <c r="B48" s="217" t="s">
        <v>186</v>
      </c>
    </row>
    <row r="50" spans="2:2" x14ac:dyDescent="0.25">
      <c r="B50" s="258" t="s">
        <v>188</v>
      </c>
    </row>
    <row r="51" spans="2:2" x14ac:dyDescent="0.25">
      <c r="B51" s="217" t="s">
        <v>186</v>
      </c>
    </row>
  </sheetData>
  <sheetProtection password="CA83" sheet="1" objects="1" scenarios="1"/>
  <phoneticPr fontId="12" type="noConversion"/>
  <hyperlinks>
    <hyperlink ref="B39" r:id="rId1"/>
  </hyperlinks>
  <pageMargins left="0.78740157499999996" right="0.78740157499999996" top="0.984251969" bottom="0.984251969" header="0.4921259845" footer="0.4921259845"/>
  <pageSetup paperSize="9" scale="83" orientation="portrait" horizont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CA33"/>
  <sheetViews>
    <sheetView tabSelected="1" topLeftCell="A13" workbookViewId="0">
      <selection activeCell="T33" sqref="T33"/>
    </sheetView>
  </sheetViews>
  <sheetFormatPr baseColWidth="10" defaultRowHeight="12.75" x14ac:dyDescent="0.2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4" customWidth="1"/>
    <col min="8" max="8" width="5.42578125" style="14" customWidth="1"/>
    <col min="9" max="9" width="1" style="14" customWidth="1"/>
    <col min="10" max="10" width="5.42578125" style="14" customWidth="1"/>
    <col min="11" max="11" width="0.42578125" style="14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customWidth="1"/>
    <col min="16" max="16" width="9" style="1" customWidth="1"/>
    <col min="17" max="17" width="7.140625" style="11" customWidth="1"/>
    <col min="18" max="18" width="7.28515625" style="11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4" bestFit="1" customWidth="1"/>
    <col min="26" max="26" width="4.7109375" style="14" customWidth="1"/>
    <col min="27" max="27" width="1.28515625" style="14" customWidth="1"/>
    <col min="28" max="28" width="4.85546875" style="14" customWidth="1"/>
    <col min="29" max="29" width="7.85546875" style="14" customWidth="1"/>
    <col min="30" max="30" width="8.7109375" style="102" customWidth="1"/>
    <col min="31" max="31" width="5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customWidth="1"/>
    <col min="36" max="36" width="10.7109375" style="11" customWidth="1"/>
    <col min="37" max="37" width="10.7109375" style="109" hidden="1" customWidth="1"/>
    <col min="38" max="38" width="0" style="109" hidden="1" customWidth="1"/>
    <col min="39" max="39" width="6.5703125" style="221" hidden="1" customWidth="1"/>
    <col min="40" max="40" width="9.5703125" style="231" hidden="1" customWidth="1"/>
    <col min="41" max="41" width="6.5703125" style="109" hidden="1" customWidth="1"/>
    <col min="42" max="42" width="9.5703125" style="231" hidden="1" customWidth="1"/>
    <col min="43" max="43" width="6.5703125" style="221" hidden="1" customWidth="1"/>
    <col min="44" max="44" width="9.5703125" style="231" hidden="1" customWidth="1"/>
    <col min="45" max="45" width="6.5703125" style="221" hidden="1" customWidth="1"/>
    <col min="46" max="46" width="9.5703125" style="231" hidden="1" customWidth="1"/>
    <col min="47" max="47" width="6.5703125" style="221" hidden="1" customWidth="1"/>
    <col min="48" max="48" width="9.5703125" style="231" hidden="1" customWidth="1"/>
    <col min="49" max="49" width="6.5703125" style="221" hidden="1" customWidth="1"/>
    <col min="50" max="50" width="9.5703125" style="231" hidden="1" customWidth="1"/>
    <col min="51" max="51" width="6.5703125" style="221" hidden="1" customWidth="1"/>
    <col min="52" max="52" width="9.5703125" style="231" hidden="1" customWidth="1"/>
    <col min="53" max="53" width="6.5703125" style="221" hidden="1" customWidth="1"/>
    <col min="54" max="54" width="9.5703125" style="231" hidden="1" customWidth="1"/>
    <col min="55" max="55" width="2" style="109" hidden="1" customWidth="1"/>
    <col min="56" max="56" width="11" style="109" hidden="1" customWidth="1"/>
    <col min="57" max="57" width="3.140625" style="109" hidden="1" customWidth="1"/>
    <col min="58" max="59" width="2" style="109" customWidth="1"/>
    <col min="60" max="60" width="7.7109375" style="109" customWidth="1"/>
    <col min="61" max="61" width="3.28515625" style="109" customWidth="1"/>
    <col min="62" max="63" width="2" style="109" bestFit="1" customWidth="1"/>
    <col min="64" max="64" width="7.7109375" style="109" customWidth="1"/>
    <col min="65" max="65" width="2.28515625" style="109" customWidth="1"/>
    <col min="66" max="67" width="2" style="109" bestFit="1" customWidth="1"/>
    <col min="68" max="68" width="7.7109375" style="109" customWidth="1"/>
    <col min="69" max="69" width="2.28515625" style="109" customWidth="1"/>
    <col min="70" max="71" width="2" style="109" bestFit="1" customWidth="1"/>
    <col min="72" max="72" width="7.28515625" style="109" bestFit="1" customWidth="1"/>
    <col min="73" max="73" width="2.5703125" style="109" customWidth="1"/>
    <col min="74" max="77" width="7.7109375" style="109" customWidth="1"/>
    <col min="78" max="78" width="7.28515625" style="109" bestFit="1" customWidth="1"/>
    <col min="79" max="16384" width="11.42578125" style="11"/>
  </cols>
  <sheetData>
    <row r="1" spans="1:78" s="4" customFormat="1" ht="67.5" customHeight="1" x14ac:dyDescent="0.4">
      <c r="A1" s="286" t="s">
        <v>27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130"/>
      <c r="S1" s="286" t="s">
        <v>28</v>
      </c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186"/>
      <c r="AL1" s="107"/>
      <c r="AM1" s="220"/>
      <c r="AN1" s="230"/>
      <c r="AO1" s="107"/>
      <c r="AP1" s="230"/>
      <c r="AQ1" s="220"/>
      <c r="AR1" s="230"/>
      <c r="AS1" s="220"/>
      <c r="AT1" s="230"/>
      <c r="AU1" s="220"/>
      <c r="AV1" s="230"/>
      <c r="AW1" s="220"/>
      <c r="AX1" s="230"/>
      <c r="AY1" s="220"/>
      <c r="AZ1" s="230"/>
      <c r="BA1" s="220"/>
      <c r="BB1" s="230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  <c r="BY1" s="108"/>
      <c r="BZ1" s="108"/>
    </row>
    <row r="2" spans="1:78" ht="27" x14ac:dyDescent="0.2">
      <c r="A2" s="289" t="str">
        <f>U4</f>
        <v>Beschreibung Spielklasse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131"/>
      <c r="AI2" s="294"/>
      <c r="AJ2" s="295"/>
      <c r="AK2" s="187"/>
    </row>
    <row r="3" spans="1:78" ht="17.25" customHeight="1" x14ac:dyDescent="0.2">
      <c r="A3" s="290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131"/>
      <c r="T3" s="40" t="s">
        <v>145</v>
      </c>
      <c r="U3" s="284" t="s">
        <v>178</v>
      </c>
      <c r="V3" s="285"/>
      <c r="W3" s="285"/>
      <c r="X3" s="285"/>
      <c r="Y3" s="285"/>
      <c r="Z3" s="285"/>
      <c r="AI3" s="29"/>
      <c r="AJ3" s="30"/>
      <c r="AK3" s="187"/>
    </row>
    <row r="4" spans="1:78" ht="27" x14ac:dyDescent="0.2">
      <c r="A4" s="289" t="str">
        <f>U6</f>
        <v>Saisonbezeichnung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131"/>
      <c r="T4" s="40" t="s">
        <v>24</v>
      </c>
      <c r="U4" s="284" t="s">
        <v>179</v>
      </c>
      <c r="V4" s="285"/>
      <c r="W4" s="285"/>
      <c r="X4" s="285"/>
      <c r="Y4" s="285"/>
      <c r="Z4" s="285"/>
      <c r="AI4" s="29"/>
      <c r="AJ4" s="30"/>
      <c r="AK4" s="187"/>
    </row>
    <row r="5" spans="1:78" ht="18" customHeight="1" x14ac:dyDescent="0.2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131"/>
      <c r="T5" s="40" t="s">
        <v>71</v>
      </c>
      <c r="U5" s="284" t="s">
        <v>180</v>
      </c>
      <c r="V5" s="285"/>
      <c r="W5" s="285"/>
      <c r="X5" s="285"/>
      <c r="Y5" s="285"/>
      <c r="Z5" s="285"/>
      <c r="AI5" s="29"/>
      <c r="AJ5" s="30"/>
      <c r="AK5" s="187"/>
    </row>
    <row r="6" spans="1:78" x14ac:dyDescent="0.2">
      <c r="P6" s="29"/>
      <c r="Q6" s="30"/>
      <c r="R6" s="30"/>
      <c r="T6" s="40" t="s">
        <v>25</v>
      </c>
      <c r="U6" s="284" t="s">
        <v>181</v>
      </c>
      <c r="V6" s="285"/>
      <c r="W6" s="285"/>
      <c r="X6" s="285"/>
      <c r="Y6" s="285"/>
      <c r="Z6" s="285"/>
      <c r="AI6" s="29"/>
      <c r="AJ6" s="30"/>
      <c r="AK6" s="187"/>
    </row>
    <row r="7" spans="1:78" x14ac:dyDescent="0.2">
      <c r="P7" s="29"/>
      <c r="Q7" s="30"/>
      <c r="R7" s="30"/>
      <c r="T7" s="40" t="s">
        <v>102</v>
      </c>
      <c r="U7" s="128" t="s">
        <v>146</v>
      </c>
      <c r="V7" s="129"/>
      <c r="W7" s="129"/>
      <c r="X7" s="129"/>
      <c r="Y7" s="129"/>
      <c r="Z7" s="129"/>
      <c r="AI7" s="29"/>
      <c r="AJ7" s="30"/>
      <c r="AK7" s="187"/>
    </row>
    <row r="8" spans="1:78" x14ac:dyDescent="0.2">
      <c r="P8" s="29"/>
      <c r="Q8" s="30"/>
      <c r="R8" s="30"/>
      <c r="T8" s="40" t="s">
        <v>72</v>
      </c>
      <c r="U8" s="284" t="s">
        <v>177</v>
      </c>
      <c r="V8" s="285"/>
      <c r="W8" s="285"/>
      <c r="X8" s="285"/>
      <c r="Y8" s="285"/>
      <c r="Z8" s="285"/>
      <c r="AI8" s="29"/>
      <c r="AJ8" s="30"/>
      <c r="AK8" s="187"/>
    </row>
    <row r="9" spans="1:78" x14ac:dyDescent="0.2">
      <c r="J9" s="117" t="s">
        <v>16</v>
      </c>
      <c r="K9" s="291">
        <f ca="1">TODAY()</f>
        <v>44464</v>
      </c>
      <c r="L9" s="292"/>
      <c r="M9" s="292"/>
      <c r="N9" s="292"/>
      <c r="O9" s="293"/>
      <c r="P9" s="293"/>
      <c r="T9" s="40" t="s">
        <v>70</v>
      </c>
      <c r="U9" s="111">
        <v>2.4305555555555556E-2</v>
      </c>
      <c r="AI9" s="29"/>
      <c r="AJ9" s="30"/>
      <c r="AK9" s="187"/>
    </row>
    <row r="10" spans="1:78" x14ac:dyDescent="0.2">
      <c r="K10" s="105"/>
      <c r="O10" s="104"/>
      <c r="P10" s="29"/>
      <c r="Q10" s="30"/>
      <c r="R10" s="30"/>
      <c r="T10" s="40" t="s">
        <v>18</v>
      </c>
      <c r="U10" s="112">
        <v>3.472222222222222E-3</v>
      </c>
      <c r="AI10" s="29"/>
      <c r="AJ10" s="30"/>
      <c r="AK10" s="187"/>
    </row>
    <row r="11" spans="1:78" x14ac:dyDescent="0.2">
      <c r="K11" s="105"/>
      <c r="O11" s="104"/>
      <c r="P11" s="29"/>
      <c r="Q11" s="30"/>
      <c r="R11" s="30"/>
      <c r="T11" s="40" t="s">
        <v>23</v>
      </c>
      <c r="U11" s="41">
        <f>SUM(U9+U10)</f>
        <v>2.7777777777777776E-2</v>
      </c>
      <c r="AI11" s="29"/>
      <c r="AJ11" s="30"/>
      <c r="AK11" s="187"/>
    </row>
    <row r="12" spans="1:78" x14ac:dyDescent="0.2">
      <c r="K12" s="105"/>
      <c r="O12" s="104"/>
      <c r="P12" s="29"/>
      <c r="Q12" s="30"/>
      <c r="R12" s="30"/>
      <c r="AI12" s="29"/>
      <c r="AJ12" s="30"/>
      <c r="AK12" s="187"/>
    </row>
    <row r="13" spans="1:78" ht="18" x14ac:dyDescent="0.25">
      <c r="K13" s="105"/>
      <c r="O13" s="104"/>
      <c r="P13" s="20"/>
      <c r="T13" s="37" t="s">
        <v>111</v>
      </c>
      <c r="U13" s="118"/>
      <c r="V13" s="118"/>
      <c r="W13" s="118"/>
      <c r="X13" s="118"/>
      <c r="Y13" s="119"/>
      <c r="Z13" s="119"/>
      <c r="AA13" s="119"/>
      <c r="AB13" s="119"/>
      <c r="AC13" s="119"/>
      <c r="AD13" s="120"/>
      <c r="AE13" s="118"/>
      <c r="AF13" s="118"/>
      <c r="AG13" s="118"/>
      <c r="AH13" s="118"/>
      <c r="AI13" s="118"/>
      <c r="AJ13" s="121"/>
    </row>
    <row r="14" spans="1:78" ht="21.6" customHeight="1" x14ac:dyDescent="0.25">
      <c r="A14" s="182" t="s">
        <v>10</v>
      </c>
      <c r="B14" s="182" t="s">
        <v>12</v>
      </c>
      <c r="C14" s="182" t="s">
        <v>15</v>
      </c>
      <c r="D14" s="288" t="s">
        <v>2</v>
      </c>
      <c r="E14" s="288"/>
      <c r="F14" s="288"/>
      <c r="G14" s="183"/>
      <c r="H14" s="288" t="s">
        <v>68</v>
      </c>
      <c r="I14" s="288"/>
      <c r="J14" s="288"/>
      <c r="K14" s="184"/>
      <c r="L14" s="288" t="s">
        <v>1</v>
      </c>
      <c r="M14" s="288"/>
      <c r="N14" s="288"/>
      <c r="O14" s="106"/>
      <c r="P14" s="21"/>
      <c r="R14" s="305" t="s">
        <v>108</v>
      </c>
      <c r="S14" s="122" t="s">
        <v>10</v>
      </c>
      <c r="T14" s="40" t="s">
        <v>26</v>
      </c>
      <c r="U14" s="122" t="s">
        <v>15</v>
      </c>
      <c r="V14" s="296" t="s">
        <v>2</v>
      </c>
      <c r="W14" s="296"/>
      <c r="X14" s="296"/>
      <c r="Y14" s="122" t="s">
        <v>13</v>
      </c>
      <c r="Z14" s="296" t="s">
        <v>68</v>
      </c>
      <c r="AA14" s="296"/>
      <c r="AB14" s="296"/>
      <c r="AC14" s="122" t="s">
        <v>69</v>
      </c>
      <c r="AD14" s="123" t="s">
        <v>74</v>
      </c>
      <c r="AE14" s="296" t="s">
        <v>1</v>
      </c>
      <c r="AF14" s="296"/>
      <c r="AG14" s="296"/>
      <c r="AH14" s="122" t="s">
        <v>11</v>
      </c>
      <c r="AI14" s="122" t="s">
        <v>112</v>
      </c>
      <c r="AJ14" s="121"/>
      <c r="AL14" s="298" t="s">
        <v>144</v>
      </c>
      <c r="AM14" s="299"/>
      <c r="AN14" s="300"/>
      <c r="AO14" s="297">
        <v>1</v>
      </c>
      <c r="AP14" s="297"/>
      <c r="AQ14" s="297">
        <v>2</v>
      </c>
      <c r="AR14" s="297"/>
      <c r="AS14" s="297">
        <v>3</v>
      </c>
      <c r="AT14" s="297"/>
      <c r="AU14" s="297">
        <v>4</v>
      </c>
      <c r="AV14" s="297"/>
      <c r="AW14" s="297">
        <v>5</v>
      </c>
      <c r="AX14" s="297"/>
      <c r="AY14" s="297">
        <v>6</v>
      </c>
      <c r="AZ14" s="297"/>
      <c r="BA14" s="297">
        <v>7</v>
      </c>
      <c r="BB14" s="297"/>
      <c r="BC14" s="222"/>
      <c r="BD14" s="222" t="s">
        <v>107</v>
      </c>
    </row>
    <row r="15" spans="1:78" ht="5.45" customHeight="1" x14ac:dyDescent="0.2">
      <c r="G15" s="1"/>
      <c r="K15" s="105"/>
      <c r="O15" s="105"/>
      <c r="P15" s="20"/>
      <c r="R15" s="305"/>
      <c r="U15" s="118"/>
      <c r="V15" s="118"/>
      <c r="W15" s="118"/>
      <c r="X15" s="118"/>
      <c r="Y15" s="118"/>
      <c r="Z15" s="119"/>
      <c r="AA15" s="119"/>
      <c r="AB15" s="119"/>
      <c r="AC15" s="119"/>
      <c r="AD15" s="120"/>
      <c r="AE15" s="118"/>
      <c r="AF15" s="118"/>
      <c r="AG15" s="118"/>
      <c r="AH15" s="119"/>
      <c r="AI15" s="118"/>
      <c r="AJ15" s="121"/>
      <c r="AL15" s="222"/>
      <c r="AM15" s="223"/>
      <c r="AN15" s="232"/>
      <c r="AO15" s="224"/>
      <c r="AP15" s="234"/>
      <c r="AQ15" s="225"/>
      <c r="AR15" s="234"/>
      <c r="AS15" s="225"/>
      <c r="AT15" s="234"/>
      <c r="AU15" s="225"/>
      <c r="AV15" s="234"/>
      <c r="AW15" s="225"/>
      <c r="AX15" s="234"/>
      <c r="AY15" s="225"/>
      <c r="AZ15" s="234"/>
      <c r="BA15" s="225"/>
      <c r="BB15" s="234"/>
      <c r="BC15" s="222"/>
      <c r="BD15" s="222"/>
    </row>
    <row r="16" spans="1:78" x14ac:dyDescent="0.2">
      <c r="A16" s="13" t="e">
        <f>VLOOKUP(1,Tabelle,1,0)</f>
        <v>#N/A</v>
      </c>
      <c r="B16" s="12" t="e">
        <f>VLOOKUP(1,Tabelle,2,0)</f>
        <v>#N/A</v>
      </c>
      <c r="C16" s="13" t="e">
        <f>VLOOKUP(1,Tabelle,3,0)</f>
        <v>#N/A</v>
      </c>
      <c r="D16" s="13" t="e">
        <f>VLOOKUP(1,Tabelle,4,0)</f>
        <v>#N/A</v>
      </c>
      <c r="E16" s="13" t="s">
        <v>0</v>
      </c>
      <c r="F16" s="13" t="e">
        <f>VLOOKUP(1,Tabelle,6,0)</f>
        <v>#N/A</v>
      </c>
      <c r="G16" s="1"/>
      <c r="H16" s="13" t="e">
        <f>VLOOKUP(1,Tabelle,8,0)</f>
        <v>#N/A</v>
      </c>
      <c r="I16" s="13" t="s">
        <v>0</v>
      </c>
      <c r="J16" s="13" t="e">
        <f>VLOOKUP(1,Tabelle,10,0)</f>
        <v>#N/A</v>
      </c>
      <c r="K16" s="106" t="e">
        <f>VLOOKUP(1,Tabelle,11,0)</f>
        <v>#N/A</v>
      </c>
      <c r="L16" s="13" t="e">
        <f>VLOOKUP(1,Tabelle,13,0)</f>
        <v>#N/A</v>
      </c>
      <c r="M16" s="13" t="s">
        <v>0</v>
      </c>
      <c r="N16" s="13" t="e">
        <f>VLOOKUP(1,Tabelle,15,0)</f>
        <v>#N/A</v>
      </c>
      <c r="O16" s="106" t="e">
        <f>VLOOKUP(1,S16:AI22,16,0)</f>
        <v>#N/A</v>
      </c>
      <c r="P16" s="20"/>
      <c r="R16" s="215">
        <v>1</v>
      </c>
      <c r="S16" s="181">
        <f t="shared" ref="S16:S22" si="0">AK16</f>
        <v>7</v>
      </c>
      <c r="T16" s="103" t="s">
        <v>160</v>
      </c>
      <c r="U16" s="124">
        <f>(V16+X16)/2</f>
        <v>0</v>
      </c>
      <c r="V16" s="124">
        <f>Spielplan!U7+Spielplan!U9+Spielplan!U13+Spielplan!U16+Spielplan!U32+Spielplan!U36+Spielplan!W39+Spielplan!W42+Spielplan!W50+Spielplan!W52+Spielplan!W56+Spielplan!W61</f>
        <v>0</v>
      </c>
      <c r="W16" s="124" t="s">
        <v>0</v>
      </c>
      <c r="X16" s="124">
        <f>Spielplan!W7+Spielplan!W9+Spielplan!W13+Spielplan!W16+Spielplan!W32+Spielplan!W36+Spielplan!U39+Spielplan!U42+Spielplan!U50+Spielplan!U52+Spielplan!U56+Spielplan!U61</f>
        <v>0</v>
      </c>
      <c r="Y16" s="124">
        <f>V16-X16</f>
        <v>0</v>
      </c>
      <c r="Z16" s="124">
        <f>Spielplan!Y7+Spielplan!Y9+Spielplan!Y13+Spielplan!Y16+Spielplan!Y32+Spielplan!Y36+Spielplan!AA39+Spielplan!AA42+Spielplan!AA50+Spielplan!AA52+Spielplan!AA56+Spielplan!AA61</f>
        <v>0</v>
      </c>
      <c r="AA16" s="126" t="s">
        <v>0</v>
      </c>
      <c r="AB16" s="124">
        <f>Spielplan!AA7+Spielplan!AA9+Spielplan!AA13+Spielplan!AA16+Spielplan!AA32+Spielplan!AA36+Spielplan!Y39+Spielplan!Y42+Spielplan!Y50+Spielplan!Y52+Spielplan!Y56+Spielplan!Y61</f>
        <v>0</v>
      </c>
      <c r="AC16" s="125">
        <f>Z16-AB16</f>
        <v>0</v>
      </c>
      <c r="AD16" s="185">
        <f>IF(AB16=0,0,Z16/AB16)</f>
        <v>0</v>
      </c>
      <c r="AE16" s="124">
        <f>Spielplan!AD7+Spielplan!AD9+Spielplan!AD13+Spielplan!AD16+Spielplan!AD32+Spielplan!AD36+Spielplan!AF39+Spielplan!AF42+Spielplan!AF50+Spielplan!AF52+Spielplan!AF56+Spielplan!AF61</f>
        <v>0</v>
      </c>
      <c r="AF16" s="124" t="s">
        <v>0</v>
      </c>
      <c r="AG16" s="124">
        <f>Spielplan!AF7+Spielplan!AF9+Spielplan!AF13+Spielplan!AF16+Spielplan!AF32+Spielplan!AF36+Spielplan!AD39+Spielplan!AD42+Spielplan!AD50+Spielplan!AD52+Spielplan!AD56+Spielplan!AD61</f>
        <v>0</v>
      </c>
      <c r="AH16" s="125">
        <f>AE16-AG16</f>
        <v>0</v>
      </c>
      <c r="AI16" s="216">
        <f>AK16</f>
        <v>7</v>
      </c>
      <c r="AJ16" s="121"/>
      <c r="AK16" s="109">
        <f>7-SUM(IF(AL16&gt;AL17,1,0)+IF(AL16&gt;AL18,1,0)+IF(AL16&gt;AL19,1,0)+IF(AL16&gt;AL20,1,0)+IF(AL16&gt;AL21,1,0)+IF(AL16&gt;AL22,1,0))</f>
        <v>7</v>
      </c>
      <c r="AL16" s="226">
        <f t="shared" ref="AL16:AL22" si="1">AM16+AN16+BD16</f>
        <v>6.0000000000000008E-8</v>
      </c>
      <c r="AM16" s="227">
        <f>AQ16+AS16+AU16+AW16+AY16+BA16</f>
        <v>0</v>
      </c>
      <c r="AN16" s="233">
        <f>AR16+AT16+AV16+AX16+AZ16+BB16</f>
        <v>0</v>
      </c>
      <c r="AO16" s="302" t="s">
        <v>106</v>
      </c>
      <c r="AP16" s="303"/>
      <c r="AQ16" s="227">
        <f>SUM(IF(V16&gt;V17,1,0)+IF(Y16&gt;Y17,0.1,0)+IF(AC16&gt;AC17,0.01,0)+IF(AD16&gt;AD17,0.001,0)+IF(AH16&gt;AH17,0.0001,0))</f>
        <v>0</v>
      </c>
      <c r="AR16" s="259">
        <f>IF(AM16=AM17,SUM(IF((Spielplan!Y7+Spielplan!AA42-Spielplan!AA7-Spielplan!Y42)&gt;(Spielplan!AA7+Spielplan!Y42-Spielplan!Y7-Spielplan!AA42),0.00001,0))+IF(ISERROR(((Spielplan!Y7+Spielplan!AA42)/(Spielplan!AA7+Spielplan!Y42))&gt;((Spielplan!AA7+Spielplan!Y42)/(Spielplan!Y7+Spielplan!AA42))),0,IF(((Spielplan!Y7+Spielplan!AA42)/(Spielplan!AA7+Spielplan!Y42))&gt;((Spielplan!AA7+Spielplan!Y42)/(Spielplan!Y7+Spielplan!AA42)),0.000001,0))+IF((Spielplan!AD7+Spielplan!AF42-Spielplan!AF7-Spielplan!AD42)&gt;(Spielplan!AF7+Spielplan!AD42-Spielplan!AD7-Spielplan!AF42),0.0000001,0),0)</f>
        <v>0</v>
      </c>
      <c r="AS16" s="227">
        <f>SUM(IF(V16&gt;V18,1,0)+IF(Y16&gt;Y18,0.1,0)+IF(AC16&gt;AC18,0.01,0)+IF(AD16&gt;AD18,0.001,0)+IF(AH16&gt;AH18,0.0001,0))</f>
        <v>0</v>
      </c>
      <c r="AT16" s="259">
        <f>IF(AM16=AM18,SUM(IF((Spielplan!Y13+Spielplan!AA61-Spielplan!AA13-Spielplan!Y61)&gt;(Spielplan!AA13+Spielplan!Y61-Spielplan!Y13-Spielplan!AA61),0.00001,0))+IF(ISERROR(((Spielplan!Y13+Spielplan!AA61)/(Spielplan!AA13+Spielplan!Y61))&gt;((Spielplan!AA13+Spielplan!Y61)/(Spielplan!Y13+Spielplan!AA61))),0,IF(((Spielplan!Y13+Spielplan!AA61)/(Spielplan!AA13+Spielplan!Y61))&gt;((Spielplan!AA13+Spielplan!Y61)/(Spielplan!Y13+Spielplan!AA61)),0.000001,0))+IF((Spielplan!AD13+Spielplan!AF61-Spielplan!AF13-Spielplan!AD61)&gt;(Spielplan!AF13+Spielplan!AD61-Spielplan!AD13-Spielplan!AF61),0.0000001,0),0)</f>
        <v>0</v>
      </c>
      <c r="AU16" s="227">
        <f>SUM(IF(V16&gt;V19,1,0)+IF(Y16&gt;Y19,0.1,0)+IF(AC16&gt;AC19,0.01,0)+IF(AD16&gt;AD19,0.001,0)+IF(AH16&gt;AH19,0.0001,0))</f>
        <v>0</v>
      </c>
      <c r="AV16" s="259">
        <f>IF(AM16=AM19,SUM(IF((Spielplan!Y36+Spielplan!AA56-Spielplan!AA36-Spielplan!Y56)&gt;(Spielplan!AA36+Spielplan!Y56-Spielplan!Y36-Spielplan!AA56),0.00001,0))+IF(ISERROR(((Spielplan!Y36+Spielplan!AA56)/(Spielplan!AA36+Spielplan!Y56))&gt;((Spielplan!AA36+Spielplan!Y56)/(Spielplan!Y36+Spielplan!AA56))),0,IF(((Spielplan!Y36+Spielplan!AA56)/(Spielplan!AA36+Spielplan!Y56))&gt;((Spielplan!AA36+Spielplan!Y56)/(Spielplan!Y36+Spielplan!AA56)),0.000001,0))+IF((Spielplan!AD36+Spielplan!AF56-Spielplan!AF36-Spielplan!AD56)&gt;(Spielplan!AF36+Spielplan!AD56-Spielplan!AD36-Spielplan!AF56),0.0000001,0),0)</f>
        <v>0</v>
      </c>
      <c r="AW16" s="227">
        <f>SUM(IF(V16&gt;V20,1,0)+IF(Y16&gt;Y20,0.1,0)+IF(AC16&gt;AC20,0.01,0)+IF(AD16&gt;AD20,0.001,0)+IF(AH16&gt;AH20,0.0001,0))</f>
        <v>0</v>
      </c>
      <c r="AX16" s="259">
        <f>IF(AM16=AM20,SUM(IF((Spielplan!Y9+Spielplan!AA52-Spielplan!AA9-Spielplan!Y52)&gt;(Spielplan!AA9+Spielplan!Y52-Spielplan!Y9-Spielplan!AA52),0.00001,0))+IF(ISERROR(((Spielplan!Y9+Spielplan!AA52)/(Spielplan!AA9+Spielplan!Y52))&gt;((Spielplan!AA9+Spielplan!Y52)/(Spielplan!Y9+Spielplan!AA52))),0,IF(((Spielplan!Y9+Spielplan!AA52)/(Spielplan!AA9+Spielplan!Y52))&gt;((Spielplan!AA9+Spielplan!Y52)/(Spielplan!Y9+Spielplan!AA52)),0.000001,0))+IF((Spielplan!AD9+Spielplan!AF52-Spielplan!AF9-Spielplan!AD52)&gt;(Spielplan!AF9+Spielplan!AD52-Spielplan!AD9-Spielplan!AF52),0.0000001,0),0)</f>
        <v>0</v>
      </c>
      <c r="AY16" s="227">
        <f>SUM(IF(V16&gt;V21,1,0)+IF(Y16&gt;Y21,0.1,0)+IF(AC16&gt;AC21,0.01,0)+IF(AD16&gt;AD21,0.001,0)+IF(AH16&gt;AH21,0.0001,0))</f>
        <v>0</v>
      </c>
      <c r="AZ16" s="259">
        <f>IF(AM16=AM21,SUM(IF((Spielplan!Y32+Spielplan!AA50-Spielplan!AA32-Spielplan!Y50)&gt;(Spielplan!AA32+Spielplan!Y50-Spielplan!Y32-Spielplan!AA50),0.00001,0))+IF(ISERROR(((Spielplan!Y32+Spielplan!AA50)/(Spielplan!AA32+Spielplan!Y50))&gt;((Spielplan!AA32+Spielplan!Y50)/(Spielplan!Y32+Spielplan!AA50))),0,IF(((Spielplan!Y32+Spielplan!AA50)/(Spielplan!AA32+Spielplan!Y50))&gt;((Spielplan!AA32+Spielplan!Y50)/(Spielplan!Y32+Spielplan!AA50)),0.000001,0))+IF((Spielplan!AD32+Spielplan!AF50-Spielplan!AF32-Spielplan!AD50)&gt;(Spielplan!AF32+Spielplan!AD50-Spielplan!AD32-Spielplan!AF50),0.0000001,0),0)</f>
        <v>0</v>
      </c>
      <c r="BA16" s="227">
        <f>SUM(IF(V16&gt;V22,1,0)+IF(Y16&gt;Y22,0.1,0)+IF(AC16&gt;AC22,0.01,0)+IF(AD16&gt;AD22,0.001,0)+IF(AH16&gt;AH22,0.0001,0))</f>
        <v>0</v>
      </c>
      <c r="BB16" s="259">
        <f>IF(AM16=AM22,SUM(IF((Spielplan!Y16+Spielplan!AA39-Spielplan!AA16-Spielplan!Y39)&gt;(Spielplan!AA16+Spielplan!Y39-Spielplan!Y16-Spielplan!AA39),0.00001,0))+IF(ISERROR(((Spielplan!Y16+Spielplan!AA39)/(Spielplan!AA16+Spielplan!Y39))&gt;((Spielplan!AA16+Spielplan!Y39)/(Spielplan!Y16+Spielplan!AA39))),0,IF(((Spielplan!Y16+Spielplan!AA39)/(Spielplan!AA16+Spielplan!Y39))&gt;((Spielplan!AA16+Spielplan!Y39)/(Spielplan!Y16+Spielplan!AA39)),0.000001,0))+IF((Spielplan!AD16+Spielplan!AF39-Spielplan!AF16-Spielplan!AD39)&gt;(Spielplan!AF16+Spielplan!AD39-Spielplan!AD16-Spielplan!AF39),0.0000001,0),0)</f>
        <v>0</v>
      </c>
      <c r="BC16" s="228"/>
      <c r="BD16" s="228">
        <f t="shared" ref="BD16:BD22" si="2">(7-R16)*0.00000001</f>
        <v>6.0000000000000008E-8</v>
      </c>
    </row>
    <row r="17" spans="1:79" s="24" customFormat="1" x14ac:dyDescent="0.2">
      <c r="A17" s="13" t="e">
        <f>VLOOKUP(2,Tabelle,1,0)</f>
        <v>#N/A</v>
      </c>
      <c r="B17" s="12" t="e">
        <f>VLOOKUP(2,Tabelle,2,0)</f>
        <v>#N/A</v>
      </c>
      <c r="C17" s="22" t="e">
        <f>VLOOKUP(2,Tabelle,3,0)</f>
        <v>#N/A</v>
      </c>
      <c r="D17" s="22" t="e">
        <f>VLOOKUP(2,Tabelle,4,0)</f>
        <v>#N/A</v>
      </c>
      <c r="E17" s="22" t="s">
        <v>0</v>
      </c>
      <c r="F17" s="22" t="e">
        <f>VLOOKUP(2,Tabelle,6,0)</f>
        <v>#N/A</v>
      </c>
      <c r="G17" s="10"/>
      <c r="H17" s="13" t="e">
        <f>VLOOKUP(2,Tabelle,8,0)</f>
        <v>#N/A</v>
      </c>
      <c r="I17" s="22" t="s">
        <v>0</v>
      </c>
      <c r="J17" s="13" t="e">
        <f>VLOOKUP(2,Tabelle,10,0)</f>
        <v>#N/A</v>
      </c>
      <c r="K17" s="106" t="e">
        <f>VLOOKUP(2,Tabelle,11,0)</f>
        <v>#N/A</v>
      </c>
      <c r="L17" s="22" t="e">
        <f>VLOOKUP(2,Tabelle,13,0)</f>
        <v>#N/A</v>
      </c>
      <c r="M17" s="22" t="s">
        <v>0</v>
      </c>
      <c r="N17" s="22" t="e">
        <f>VLOOKUP(2,Tabelle,15,0)</f>
        <v>#N/A</v>
      </c>
      <c r="O17" s="106" t="e">
        <f>VLOOKUP(2,S16:AI22,16,0)</f>
        <v>#N/A</v>
      </c>
      <c r="P17" s="20"/>
      <c r="R17" s="215">
        <v>1</v>
      </c>
      <c r="S17" s="181">
        <f t="shared" si="0"/>
        <v>7</v>
      </c>
      <c r="T17" s="103" t="s">
        <v>161</v>
      </c>
      <c r="U17" s="124">
        <f t="shared" ref="U17:U22" si="3">(V17+X17)/2</f>
        <v>0</v>
      </c>
      <c r="V17" s="126">
        <f>Spielplan!W7+Spielplan!U10+Spielplan!U14+Spielplan!U18+Spielplan!U30+Spielplan!U34+Spielplan!W37+Spielplan!U42+Spielplan!W51+Spielplan!W53+Spielplan!W58+Spielplan!W60</f>
        <v>0</v>
      </c>
      <c r="W17" s="126" t="s">
        <v>0</v>
      </c>
      <c r="X17" s="126">
        <f>Spielplan!U7+Spielplan!W10+Spielplan!W14+Spielplan!W18+Spielplan!W30+Spielplan!W34+Spielplan!U37+Spielplan!W42+Spielplan!U51+Spielplan!U53+Spielplan!U58+Spielplan!U60</f>
        <v>0</v>
      </c>
      <c r="Y17" s="124">
        <f t="shared" ref="Y17:Y22" si="4">V17-X17</f>
        <v>0</v>
      </c>
      <c r="Z17" s="126">
        <f>Spielplan!AA7+Spielplan!Y10+Spielplan!Y14+Spielplan!Y18+Spielplan!Y30+Spielplan!Y34+Spielplan!AA37+Spielplan!Y42+Spielplan!AA51+Spielplan!AA53+Spielplan!AA58+Spielplan!AA60</f>
        <v>0</v>
      </c>
      <c r="AA17" s="126" t="s">
        <v>0</v>
      </c>
      <c r="AB17" s="126">
        <f>Spielplan!Y7+Spielplan!AA10+Spielplan!AA14+Spielplan!AA18+Spielplan!AA30+Spielplan!AA34+Spielplan!Y37+Spielplan!AA42+Spielplan!Y51+Spielplan!Y53+Spielplan!Y58+Spielplan!Y60</f>
        <v>0</v>
      </c>
      <c r="AC17" s="125">
        <f t="shared" ref="AC17:AC22" si="5">Z17-AB17</f>
        <v>0</v>
      </c>
      <c r="AD17" s="185">
        <f t="shared" ref="AD17:AD22" si="6">IF(AB17=0,0,Z17/AB17)</f>
        <v>0</v>
      </c>
      <c r="AE17" s="126">
        <f>Spielplan!AF7+Spielplan!AD10+Spielplan!AD14+Spielplan!AD18+Spielplan!AD30+Spielplan!AD34+Spielplan!AF37+Spielplan!AD42+Spielplan!AF51+Spielplan!AF53+Spielplan!AF58+Spielplan!AF60</f>
        <v>0</v>
      </c>
      <c r="AF17" s="126" t="s">
        <v>0</v>
      </c>
      <c r="AG17" s="126">
        <f>Spielplan!AD7+Spielplan!AF10+Spielplan!AF14+Spielplan!AF18+Spielplan!AF30+Spielplan!AF34+Spielplan!AD37+Spielplan!AF42+Spielplan!AD51+Spielplan!AD53+Spielplan!AD58+Spielplan!AD60</f>
        <v>0</v>
      </c>
      <c r="AH17" s="125">
        <f t="shared" ref="AH17:AH22" si="7">AE17-AG17</f>
        <v>0</v>
      </c>
      <c r="AI17" s="216">
        <f t="shared" ref="AI17:AI22" si="8">AK17</f>
        <v>7</v>
      </c>
      <c r="AJ17" s="127"/>
      <c r="AK17" s="109">
        <f>7-SUM(IF(AL17&gt;AL16,1,0)+IF(AL17&gt;AL18,1,0)+IF(AL17&gt;AL19,1,0)+IF(AL17&gt;AL20,1,0)+IF(AL17&gt;AL21,1,0)+IF(AL17&gt;AL22,1,0))</f>
        <v>7</v>
      </c>
      <c r="AL17" s="226">
        <f t="shared" si="1"/>
        <v>6.0000000000000008E-8</v>
      </c>
      <c r="AM17" s="227">
        <f>AO17+AS17+AU17+AW17+AY17+BA17</f>
        <v>0</v>
      </c>
      <c r="AN17" s="233">
        <f>AP17+AT17+AV17+AX17+AZ17+BB17</f>
        <v>0</v>
      </c>
      <c r="AO17" s="227">
        <f>SUM(IF(V17&gt;V16,1,0)+IF(Y17&gt;Y16,0.1,0)+IF(AC17&gt;AC16,0.01,0)+IF(AD17&gt;AD16,0.001,0)+IF(AH17&gt;AH16,0.0001,0))</f>
        <v>0</v>
      </c>
      <c r="AP17" s="259">
        <f>IF(AM17=AM16,SUM(IF((Spielplan!AA7+Spielplan!Y42-Spielplan!Y7-Spielplan!AA42)&gt;(Spielplan!Y7+Spielplan!AA42-Spielplan!AA7-Spielplan!Y42),0.00001,0))+IF(ISERROR(((Spielplan!AA7+Spielplan!Y42)/(Spielplan!Y7+Spielplan!AA42))&gt;((Spielplan!Y7+Spielplan!AA42)/(Spielplan!AA7+Spielplan!Y42))),0,IF(((Spielplan!AA7+Spielplan!Y42)/(Spielplan!Y7+Spielplan!AA42))&gt;((Spielplan!Y7+Spielplan!AA42)/(Spielplan!AA7+Spielplan!Y42)),0.000001,0))+IF((Spielplan!AF7+Spielplan!AD42-Spielplan!AD7-Spielplan!AF42)&gt;(Spielplan!AD7+Spielplan!AF42-Spielplan!AF7-Spielplan!AD42),0.0000001,0),0)</f>
        <v>0</v>
      </c>
      <c r="AQ17" s="302" t="s">
        <v>106</v>
      </c>
      <c r="AR17" s="303"/>
      <c r="AS17" s="227">
        <f>SUM(IF(V17&gt;V18,1,0)+IF(Y17&gt;Y18,0.1,0)+IF(AC17&gt;AC18,0.01,0)+IF(AD17&gt;AD18,0.001,0)+IF(AH17&gt;AH18,0.0001,0))</f>
        <v>0</v>
      </c>
      <c r="AT17" s="259">
        <f>IF(AM17=AM18,SUM(IF((Spielplan!Y10+Spielplan!AA37-Spielplan!AA10-Spielplan!Y37)&gt;(Spielplan!AA10+Spielplan!Y37-Spielplan!Y10-Spielplan!AA37),0.00001,0))+IF(ISERROR(((Spielplan!Y10+Spielplan!AA37)/(Spielplan!AA10+Spielplan!Y37))&gt;((Spielplan!AA10+Spielplan!Y37)/(Spielplan!Y10+Spielplan!AA37))),0,IF(((Spielplan!Y10+Spielplan!AA37)/(Spielplan!AA10+Spielplan!Y37))&gt;((Spielplan!AA10+Spielplan!Y37)/(Spielplan!Y10+Spielplan!AA37)),0.000001,0))+IF((Spielplan!AD10+Spielplan!AF37-Spielplan!AF10-Spielplan!AD37)&gt;(Spielplan!AF10+Spielplan!AD37-Spielplan!AD10-Spielplan!AF37),0.0000001,0),0)</f>
        <v>0</v>
      </c>
      <c r="AU17" s="227">
        <f>SUM(IF(V17&gt;V19,1,0)+IF(Y17&gt;Y19,0.1,0)+IF(AC17&gt;AC19,0.01,0)+IF(AD17&gt;AD19,0.001,0)+IF(AH17&gt;AH19,0.0001,0))</f>
        <v>0</v>
      </c>
      <c r="AV17" s="259">
        <f>IF(AM17=AM19,SUM(IF((Spielplan!Y34+Spielplan!AA60-Spielplan!AA34-Spielplan!Y60)&gt;(Spielplan!AA34+Spielplan!Y60-Spielplan!Y34-Spielplan!AA60),0.00001,0))+IF(ISERROR(((Spielplan!Y34+Spielplan!AA60)/(Spielplan!AA34+Spielplan!Y60))&gt;((Spielplan!AA34+Spielplan!Y60)/(Spielplan!Y34+Spielplan!AA60))),0,IF(((Spielplan!Y34+Spielplan!AA60)/(Spielplan!AA34+Spielplan!Y60))&gt;((Spielplan!AA34+Spielplan!Y60)/(Spielplan!Y34+Spielplan!AA60)),0.000001,0))+IF((Spielplan!AD34+Spielplan!AF60-Spielplan!AF34-Spielplan!AD60)&gt;(Spielplan!AF34+Spielplan!AD60-Spielplan!AD34-Spielplan!AF60),0.0000001,0),0)</f>
        <v>0</v>
      </c>
      <c r="AW17" s="227">
        <f>SUM(IF(V17&gt;V20,1,0)+IF(Y17&gt;Y20,0.1,0)+IF(AC17&gt;AC20,0.01,0)+IF(AD17&gt;AD20,0.001,0)+IF(AH17&gt;AH20,0.0001,0))</f>
        <v>0</v>
      </c>
      <c r="AX17" s="259">
        <f>IF(AM17=AM20,SUM(IF((Spielplan!Y14+Spielplan!AA58-Spielplan!AA14-Spielplan!Y58)&gt;(Spielplan!AA14+Spielplan!Y58-Spielplan!Y14-Spielplan!AA58),0.00001,0))+IF(ISERROR(((Spielplan!Y14+Spielplan!AA58)/(Spielplan!AA14+Spielplan!Y58))&gt;((Spielplan!AA14+Spielplan!Y58)/(Spielplan!Y14+Spielplan!AA58))),0,IF(((Spielplan!Y14+Spielplan!AA58)/(Spielplan!AA14+Spielplan!Y58))&gt;((Spielplan!AA14+Spielplan!Y58)/(Spielplan!Y14+Spielplan!AA58)),0.000001,0))+IF((Spielplan!AD14+Spielplan!AF58-Spielplan!AF14-Spielplan!AD58)&gt;(Spielplan!AF14+Spielplan!AD58-Spielplan!AD14-Spielplan!AF58),0.0000001,0),0)</f>
        <v>0</v>
      </c>
      <c r="AY17" s="227">
        <f>SUM(IF(V17&gt;V21,1,0)+IF(Y17&gt;Y21,0.1,0)+IF(AC17&gt;AC21,0.01,0)+IF(AD17&gt;AD21,0.001,0)+IF(AH17&gt;AH21,0.0001,0))</f>
        <v>0</v>
      </c>
      <c r="AZ17" s="259">
        <f>IF(AM17=AM21,SUM(IF((Spielplan!Y30+Spielplan!AA53-Spielplan!AA30-Spielplan!Y53)&gt;(Spielplan!AA30+Spielplan!Y53-Spielplan!Y30-Spielplan!AA53),0.00001,0))+IF(ISERROR(((Spielplan!Y30+Spielplan!AA53)/(Spielplan!AA30+Spielplan!Y53))&gt;((Spielplan!AA30+Spielplan!Y53)/(Spielplan!Y30+Spielplan!AA53))),0,IF(((Spielplan!Y30+Spielplan!AA53)/(Spielplan!AA30+Spielplan!Y53))&gt;((Spielplan!AA30+Spielplan!Y53)/(Spielplan!Y30+Spielplan!AA53)),0.000001,0))+IF((Spielplan!AD30+Spielplan!AF53-Spielplan!AF30-Spielplan!AD53)&gt;(Spielplan!AF30+Spielplan!AD53-Spielplan!AD30-Spielplan!AF53),0.0000001,0),0)</f>
        <v>0</v>
      </c>
      <c r="BA17" s="227">
        <f>SUM(IF(V17&gt;V22,1,0)+IF(Y17&gt;Y22,0.1,0)+IF(AC17&gt;AC22,0.01,0)+IF(AD17&gt;AD22,0.001,0)+IF(AH17&gt;AH22,0.0001,0))</f>
        <v>0</v>
      </c>
      <c r="BB17" s="259">
        <f>IF(AM17=AM22,SUM(IF((Spielplan!Y18+Spielplan!AA51-Spielplan!AA18-Spielplan!Y51)&gt;(Spielplan!AA18+Spielplan!Y51-Spielplan!Y18-Spielplan!AA51),0.00001,0))+IF(ISERROR(((Spielplan!Y18+Spielplan!AA51)/(Spielplan!AA18+Spielplan!Y51))&gt;((Spielplan!AA18+Spielplan!Y51)/(Spielplan!Y18+Spielplan!AA51))),0,IF(((Spielplan!Y18+Spielplan!AA51)/(Spielplan!AA18+Spielplan!Y51))&gt;((Spielplan!AA18+Spielplan!Y51)/(Spielplan!Y18+Spielplan!AA51)),0.000001,0))+IF((Spielplan!AD18+Spielplan!AF51-Spielplan!AF18-Spielplan!AD51)&gt;(Spielplan!AF18+Spielplan!AD51-Spielplan!AD18-Spielplan!AF51),0.0000001,0),0)</f>
        <v>0</v>
      </c>
      <c r="BC17" s="228"/>
      <c r="BD17" s="228">
        <f t="shared" si="2"/>
        <v>6.0000000000000008E-8</v>
      </c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10"/>
    </row>
    <row r="18" spans="1:79" s="24" customFormat="1" x14ac:dyDescent="0.2">
      <c r="A18" s="13" t="e">
        <f>VLOOKUP(3,Tabelle,1,0)</f>
        <v>#N/A</v>
      </c>
      <c r="B18" s="23" t="e">
        <f>VLOOKUP(3,Tabelle,2,0)</f>
        <v>#N/A</v>
      </c>
      <c r="C18" s="22" t="e">
        <f>VLOOKUP(3,Tabelle,3,0)</f>
        <v>#N/A</v>
      </c>
      <c r="D18" s="22" t="e">
        <f>VLOOKUP(3,Tabelle,4,0)</f>
        <v>#N/A</v>
      </c>
      <c r="E18" s="22" t="s">
        <v>0</v>
      </c>
      <c r="F18" s="22" t="e">
        <f>VLOOKUP(3,Tabelle,6,0)</f>
        <v>#N/A</v>
      </c>
      <c r="G18" s="10"/>
      <c r="H18" s="13" t="e">
        <f>VLOOKUP(3,Tabelle,8,0)</f>
        <v>#N/A</v>
      </c>
      <c r="I18" s="22" t="s">
        <v>0</v>
      </c>
      <c r="J18" s="13" t="e">
        <f>VLOOKUP(3,Tabelle,10,0)</f>
        <v>#N/A</v>
      </c>
      <c r="K18" s="106" t="e">
        <f>VLOOKUP(3,Tabelle,11,0)</f>
        <v>#N/A</v>
      </c>
      <c r="L18" s="22" t="e">
        <f>VLOOKUP(3,Tabelle,13,0)</f>
        <v>#N/A</v>
      </c>
      <c r="M18" s="22" t="s">
        <v>0</v>
      </c>
      <c r="N18" s="22" t="e">
        <f>VLOOKUP(3,Tabelle,15,0)</f>
        <v>#N/A</v>
      </c>
      <c r="O18" s="106" t="e">
        <f>VLOOKUP(3,S16:AI22,16,0)</f>
        <v>#N/A</v>
      </c>
      <c r="P18" s="20"/>
      <c r="R18" s="215">
        <v>1</v>
      </c>
      <c r="S18" s="181">
        <f t="shared" si="0"/>
        <v>7</v>
      </c>
      <c r="T18" s="103" t="s">
        <v>162</v>
      </c>
      <c r="U18" s="124">
        <f t="shared" si="3"/>
        <v>0</v>
      </c>
      <c r="V18" s="126">
        <f>Spielplan!U8+Spielplan!W10+Spielplan!W13+Spielplan!U17+Spielplan!U29+Spielplan!U37+Spielplan!W41+Spielplan!W55+Spielplan!W57+Spielplan!W59+Spielplan!U61</f>
        <v>0</v>
      </c>
      <c r="W18" s="126" t="s">
        <v>0</v>
      </c>
      <c r="X18" s="126">
        <f>Spielplan!W8+Spielplan!U10+Spielplan!U13+Spielplan!W17+Spielplan!W29+Spielplan!W33+Spielplan!W37+Spielplan!U41+Spielplan!U55+Spielplan!U57+Spielplan!U59+Spielplan!U61</f>
        <v>0</v>
      </c>
      <c r="Y18" s="124">
        <f t="shared" si="4"/>
        <v>0</v>
      </c>
      <c r="Z18" s="126">
        <f>Spielplan!Y8+Spielplan!AA10+Spielplan!AA13+Spielplan!Y17+Spielplan!Y29+Spielplan!Y37+Spielplan!AA41+Spielplan!AA55+Spielplan!AA57+Spielplan!AA59+Spielplan!Y61</f>
        <v>0</v>
      </c>
      <c r="AA18" s="126" t="s">
        <v>0</v>
      </c>
      <c r="AB18" s="126">
        <f>Spielplan!AA8+Spielplan!Y10+Spielplan!Y13+Spielplan!AA17+Spielplan!AA29+Spielplan!AA33+Spielplan!AA37+Spielplan!Y41+Spielplan!Y55+Spielplan!Y57+Spielplan!Y59+Spielplan!Y61</f>
        <v>0</v>
      </c>
      <c r="AC18" s="125">
        <f t="shared" si="5"/>
        <v>0</v>
      </c>
      <c r="AD18" s="185">
        <f t="shared" si="6"/>
        <v>0</v>
      </c>
      <c r="AE18" s="126">
        <f>Spielplan!AD8+Spielplan!AF10+Spielplan!AF13+Spielplan!AD17+Spielplan!AD29+Spielplan!AD37+Spielplan!AF41+Spielplan!AF55+Spielplan!AF57+Spielplan!AF59+Spielplan!AD61</f>
        <v>0</v>
      </c>
      <c r="AF18" s="126" t="s">
        <v>0</v>
      </c>
      <c r="AG18" s="126">
        <f>Spielplan!AF8+Spielplan!AD10+Spielplan!AD13+Spielplan!AF17+Spielplan!AF29+Spielplan!AF33+Spielplan!AF37+Spielplan!AD41+Spielplan!AD55+Spielplan!AD57+Spielplan!AD59+Spielplan!AD61</f>
        <v>0</v>
      </c>
      <c r="AH18" s="125">
        <f t="shared" si="7"/>
        <v>0</v>
      </c>
      <c r="AI18" s="216">
        <f t="shared" si="8"/>
        <v>7</v>
      </c>
      <c r="AJ18" s="127"/>
      <c r="AK18" s="109">
        <f>7-SUM(IF(AL18&gt;AL16,1,0)+IF(AL18&gt;AL17,1,0)+IF(AL18&gt;AL19,1,0)+IF(AL18&gt;AL20,1,0)+IF(AL18&gt;AL21,1,0)+IF(AL18&gt;AL22,1,0))</f>
        <v>7</v>
      </c>
      <c r="AL18" s="226">
        <f t="shared" si="1"/>
        <v>6.0000000000000008E-8</v>
      </c>
      <c r="AM18" s="227">
        <f>AO18+AQ18+AU18+AW18+AY18+BA18</f>
        <v>0</v>
      </c>
      <c r="AN18" s="233">
        <f>AP18+AR18+AV18+AX18+AZ18+BB18</f>
        <v>0</v>
      </c>
      <c r="AO18" s="227">
        <f>SUM(IF(V18&gt;V16,1,0)+IF(Y18&gt;Y16,0.1,0)+IF(AC18&gt;AC16,0.01,0)+IF(AD18&gt;AD16,0.001,0)+IF(AH18&gt;AH16,0.0001,0))</f>
        <v>0</v>
      </c>
      <c r="AP18" s="259">
        <f>IF(AM18=AM16,SUM(IF((Spielplan!AA13+Spielplan!Y61-Spielplan!Y13-Spielplan!AA61)&gt;(Spielplan!Y13+Spielplan!AA61-Spielplan!AA13-Spielplan!Y61),0.00001,0))+IF(ISERROR(((Spielplan!AA13+Spielplan!Y61)/(Spielplan!Y13+Spielplan!AA61))&gt;((Spielplan!Y13+Spielplan!AA61)/(Spielplan!AA13+Spielplan!Y61))),0,IF(((Spielplan!AA13+Spielplan!Y61)/(Spielplan!Y13+Spielplan!AA61))&gt;((Spielplan!Y13+Spielplan!AA61)/(Spielplan!AA13+Spielplan!Y61)),0.000001,0))+IF((Spielplan!AF13+Spielplan!AD61-Spielplan!AD13-Spielplan!AF61)&gt;(Spielplan!AD13+Spielplan!AF61-Spielplan!AF13-Spielplan!AD61),0.0000001,0),0)</f>
        <v>0</v>
      </c>
      <c r="AQ18" s="229">
        <f>SUM(IF(V18&gt;V17,1,0)+IF(Y18&gt;Y17,0.1,0)+IF(AC18&gt;AC17,0.01,0)+IF(AD18&gt;AD17,0.001,0)+IF(AH18&gt;AH17,0.0001,0))</f>
        <v>0</v>
      </c>
      <c r="AR18" s="259">
        <f>IF(AM18=AM17,SUM(IF((Spielplan!AA10+Spielplan!Y37-Spielplan!Y10-Spielplan!AA37)&gt;(Spielplan!Y10+Spielplan!AA37-Spielplan!AA10-Spielplan!Y37),0.00001,0))+IF(ISERROR(((Spielplan!AA10+Spielplan!Y37)/(Spielplan!Y10+Spielplan!AA37))&gt;((Spielplan!Y10+Spielplan!AA37)/(Spielplan!AA10+Spielplan!Y37))),0,IF(((Spielplan!AA10+Spielplan!Y37)/(Spielplan!Y10+Spielplan!AA37))&gt;((Spielplan!Y10+Spielplan!AA37)/(Spielplan!AA10+Spielplan!Y37)),0.000001,0))+IF((Spielplan!AF10+Spielplan!AD37-Spielplan!AD10-Spielplan!AF37)&gt;(Spielplan!AD10+Spielplan!AF37-Spielplan!AF10-Spielplan!AD37),0.0000001,0),0)</f>
        <v>0</v>
      </c>
      <c r="AS18" s="302" t="s">
        <v>106</v>
      </c>
      <c r="AT18" s="303"/>
      <c r="AU18" s="227">
        <f>SUM(IF(V18&gt;V19,1,0)+IF(Y18&gt;Y19,0.1,0)+IF(AC18&gt;AC19,0.01,0)+IF(AD18&gt;AD19,0.001,0)+IF(AH18&gt;AH19,0.0001,0))</f>
        <v>0</v>
      </c>
      <c r="AV18" s="259">
        <f>IF(AM18=AM19,SUM(IF((Spielplan!Y8+Spielplan!AA41-Spielplan!AA8-Spielplan!Y41)&gt;(Spielplan!AA8+Spielplan!Y41-Spielplan!Y8-Spielplan!AA41),0.00001,0))+IF(ISERROR(((Spielplan!Y8+Spielplan!AA41)/(Spielplan!AA8+Spielplan!Y41))&gt;((Spielplan!AA8+Spielplan!Y41)/(Spielplan!Y8+Spielplan!AA41))),0,IF(((Spielplan!Y8+Spielplan!AA41)/(Spielplan!AA8+Spielplan!Y41))&gt;((Spielplan!AA8+Spielplan!Y41)/(Spielplan!Y8+Spielplan!AA41)),0.000001,0))+IF((Spielplan!AD8+Spielplan!AF41-Spielplan!AF8-Spielplan!AD41)&gt;(Spielplan!AF8+Spielplan!AD41-Spielplan!AD8-Spielplan!AF41),0.0000001,0),0)</f>
        <v>0</v>
      </c>
      <c r="AW18" s="227">
        <f>SUM(IF(V18&gt;V20,1,0)+IF(Y18&gt;Y20,0.1,0)+IF(AC18&gt;AC20,0.01,0)+IF(AD18&gt;AD20,0.001,0)+IF(AH18&gt;AH20,0.0001,0))</f>
        <v>0</v>
      </c>
      <c r="AX18" s="259">
        <f>IF(AM18=AM20,SUM(IF((Spielplan!Y33+Spielplan!AA55-Spielplan!AA33-Spielplan!Y55)&gt;(Spielplan!AA33+Spielplan!Y55-Spielplan!Y33-Spielplan!AA55),0.00001,0))+IF(ISERROR(((Spielplan!Y33+Spielplan!AA55)/(Spielplan!AA33+Spielplan!Y55))&gt;((Spielplan!AA33+Spielplan!Y55)/(Spielplan!Y33+Spielplan!AA55))),0,IF(((Spielplan!Y33+Spielplan!AA55)/(Spielplan!AA33+Spielplan!Y55))&gt;((Spielplan!AA33+Spielplan!Y55)/(Spielplan!Y33+Spielplan!AA55)),0.000001,0))+IF((Spielplan!AD33+Spielplan!AF55-Spielplan!AF33-Spielplan!AD55)&gt;(Spielplan!AF33+Spielplan!AD55-Spielplan!AD33-Spielplan!AF55),0.0000001,0),0)</f>
        <v>0</v>
      </c>
      <c r="AY18" s="227">
        <f>SUM(IF(V18&gt;V21,1,0)+IF(Y18&gt;Y21,0.1,0)+IF(AC18&gt;AC21,0.01,0)+IF(AD18&gt;AD21,0.001,0)+IF(AH18&gt;AH21,0.0001,0))</f>
        <v>0</v>
      </c>
      <c r="AZ18" s="259">
        <f>IF(AM18=AM21,SUM(IF((Spielplan!Y17+Spielplan!AA57-Spielplan!AA17-Spielplan!Y57)&gt;(Spielplan!AA17+Spielplan!Y57-Spielplan!Y17-Spielplan!AA57),0.00001,0))+IF(ISERROR(((Spielplan!Y17+Spielplan!AA57)/(Spielplan!AA17+Spielplan!Y57))&gt;((Spielplan!AA17+Spielplan!Y57)/(Spielplan!Y17+Spielplan!AA57))),0,IF(((Spielplan!Y17+Spielplan!AA57)/(Spielplan!AA17+Spielplan!Y57))&gt;((Spielplan!AA17+Spielplan!Y57)/(Spielplan!Y17+Spielplan!AA57)),0.000001,0))+IF((Spielplan!AD17+Spielplan!AF57-Spielplan!AF17-Spielplan!AD57)&gt;(Spielplan!AF17+Spielplan!AD57-Spielplan!AD17-Spielplan!AF57),0.0000001,0),0)</f>
        <v>0</v>
      </c>
      <c r="BA18" s="227">
        <f>SUM(IF(V18&gt;V22,1,0)+IF(Y18&gt;Y22,0.1,0)+IF(AC18&gt;AC22,0.01,0)+IF(AD18&gt;AD22,0.001,0)+IF(AH18&gt;AH22,0.0001,0))</f>
        <v>0</v>
      </c>
      <c r="BB18" s="259">
        <f>IF(AM18=AM22,SUM(IF((Spielplan!Y29+Spielplan!AA59-Spielplan!AA29-Spielplan!Y59)&gt;(Spielplan!AA29+Spielplan!Y59-Spielplan!Y29-Spielplan!AA59),0.00001,0))+IF(ISERROR(((Spielplan!Y29+Spielplan!AA59)/(Spielplan!AA29+Spielplan!Y59))&gt;((Spielplan!AA29+Spielplan!Y59)/(Spielplan!Y29+Spielplan!AA59))),0,IF(((Spielplan!Y29+Spielplan!AA59)/(Spielplan!AA29+Spielplan!Y59))&gt;((Spielplan!AA29+Spielplan!Y59)/(Spielplan!Y29+Spielplan!AA59)),0.000001,0))+IF((Spielplan!AD29+Spielplan!AF59-Spielplan!AF29-Spielplan!AD59)&gt;(Spielplan!AF29+Spielplan!AD59-Spielplan!AD29-Spielplan!AF59),0.0000001,0),0)</f>
        <v>0</v>
      </c>
      <c r="BC18" s="228"/>
      <c r="BD18" s="228">
        <f t="shared" si="2"/>
        <v>6.0000000000000008E-8</v>
      </c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10"/>
    </row>
    <row r="19" spans="1:79" s="24" customFormat="1" x14ac:dyDescent="0.2">
      <c r="A19" s="13" t="e">
        <f>VLOOKUP(4,Tabelle,1,0)</f>
        <v>#N/A</v>
      </c>
      <c r="B19" s="23" t="e">
        <f>VLOOKUP(4,Tabelle,2,0)</f>
        <v>#N/A</v>
      </c>
      <c r="C19" s="22" t="e">
        <f>VLOOKUP(4,Tabelle,3,0)</f>
        <v>#N/A</v>
      </c>
      <c r="D19" s="22" t="e">
        <f>VLOOKUP(4,Tabelle,4,0)</f>
        <v>#N/A</v>
      </c>
      <c r="E19" s="22" t="s">
        <v>0</v>
      </c>
      <c r="F19" s="22" t="e">
        <f>VLOOKUP(4,Tabelle,6,0)</f>
        <v>#N/A</v>
      </c>
      <c r="G19" s="10"/>
      <c r="H19" s="13" t="e">
        <f>VLOOKUP(4,Tabelle,8,0)</f>
        <v>#N/A</v>
      </c>
      <c r="I19" s="22" t="s">
        <v>0</v>
      </c>
      <c r="J19" s="13" t="e">
        <f>VLOOKUP(4,Tabelle,10,0)</f>
        <v>#N/A</v>
      </c>
      <c r="K19" s="106" t="e">
        <f>VLOOKUP(4,Tabelle,11,0)</f>
        <v>#N/A</v>
      </c>
      <c r="L19" s="22" t="e">
        <f>VLOOKUP(4,Tabelle,13,0)</f>
        <v>#N/A</v>
      </c>
      <c r="M19" s="22" t="s">
        <v>0</v>
      </c>
      <c r="N19" s="22" t="e">
        <f>VLOOKUP(4,Tabelle,15,0)</f>
        <v>#N/A</v>
      </c>
      <c r="O19" s="106" t="e">
        <f>VLOOKUP(4,S16:AI22,16,0)</f>
        <v>#N/A</v>
      </c>
      <c r="P19" s="20"/>
      <c r="R19" s="215">
        <v>1</v>
      </c>
      <c r="S19" s="181">
        <f t="shared" si="0"/>
        <v>7</v>
      </c>
      <c r="T19" s="103" t="s">
        <v>163</v>
      </c>
      <c r="U19" s="124">
        <f t="shared" si="3"/>
        <v>0</v>
      </c>
      <c r="V19" s="126">
        <f>Spielplan!W8+Spielplan!U11+Spielplan!U15+Spielplan!U20+Spielplan!W34+Spielplan!W36+Spielplan!W40+Spielplan!U41+Spielplan!W54+Spielplan!U56+Spielplan!U60+Spielplan!W62</f>
        <v>0</v>
      </c>
      <c r="W19" s="126" t="s">
        <v>0</v>
      </c>
      <c r="X19" s="126">
        <f>Spielplan!U8+Spielplan!W11+Spielplan!W15+Spielplan!W20+Spielplan!U34+Spielplan!U36+Spielplan!U40+Spielplan!W41+Spielplan!U54+Spielplan!W56+Spielplan!W60+Spielplan!U62</f>
        <v>0</v>
      </c>
      <c r="Y19" s="124">
        <f t="shared" si="4"/>
        <v>0</v>
      </c>
      <c r="Z19" s="126">
        <f>Spielplan!AA8+Spielplan!Y11+Spielplan!Y15+Spielplan!Y20+Spielplan!AA34+Spielplan!AA36+Spielplan!AA40+Spielplan!Y41+Spielplan!AA54+Spielplan!Y56+Spielplan!Y60+Spielplan!AA62</f>
        <v>0</v>
      </c>
      <c r="AA19" s="126" t="s">
        <v>0</v>
      </c>
      <c r="AB19" s="126">
        <f>Spielplan!Y8+Spielplan!AA11+Spielplan!AA15+Spielplan!AA20+Spielplan!Y34+Spielplan!Y36+Spielplan!Y40+Spielplan!AA41+Spielplan!Y54+Spielplan!AA56+Spielplan!AA60+Spielplan!Y62</f>
        <v>0</v>
      </c>
      <c r="AC19" s="125">
        <f t="shared" si="5"/>
        <v>0</v>
      </c>
      <c r="AD19" s="185">
        <f t="shared" si="6"/>
        <v>0</v>
      </c>
      <c r="AE19" s="126">
        <f>Spielplan!AF8+Spielplan!AD11+Spielplan!AD15+Spielplan!AD20+Spielplan!AF34+Spielplan!AF36+Spielplan!AF40+Spielplan!AD41+Spielplan!AF54+Spielplan!AD56+Spielplan!AD60+Spielplan!AF62</f>
        <v>0</v>
      </c>
      <c r="AF19" s="126" t="s">
        <v>0</v>
      </c>
      <c r="AG19" s="126">
        <f>Spielplan!AD8+Spielplan!AF11+Spielplan!AF15+Spielplan!AF20+Spielplan!AD34+Spielplan!AD36+Spielplan!AD40+Spielplan!AF41+Spielplan!AD54+Spielplan!AF56+Spielplan!AF60+Spielplan!AD62</f>
        <v>0</v>
      </c>
      <c r="AH19" s="125">
        <f t="shared" si="7"/>
        <v>0</v>
      </c>
      <c r="AI19" s="216">
        <f t="shared" si="8"/>
        <v>7</v>
      </c>
      <c r="AJ19" s="127"/>
      <c r="AK19" s="109">
        <f>7-SUM(IF(AL19&gt;AL16,1,0)+IF(AL19&gt;AL17,1,0)+IF(AL19&gt;AL18,1,0)+IF(AL19&gt;AL20,1,0)+IF(AL19&gt;AL21,1,0)+IF(AL19&gt;AL22,1,0))</f>
        <v>7</v>
      </c>
      <c r="AL19" s="226">
        <f t="shared" si="1"/>
        <v>6.0000000000000008E-8</v>
      </c>
      <c r="AM19" s="227">
        <f>AO19+AQ19+AS19+AW19+AY19+BA19</f>
        <v>0</v>
      </c>
      <c r="AN19" s="233">
        <f>AP19+AR19+AT19+AX19+AZ19+BB19</f>
        <v>0</v>
      </c>
      <c r="AO19" s="227">
        <f>SUM(IF(V19&gt;V16,1,0)+IF(Y19&gt;Y16,0.1,0)+IF(AC19&gt;AC16,0.01,0)+IF(AD19&gt;AD16,0.001,0)+IF(AH19&gt;AH16,0.0001,0))</f>
        <v>0</v>
      </c>
      <c r="AP19" s="259">
        <f>IF(AM19=AM16,SUM(IF((Spielplan!AA36+Spielplan!Y56-Spielplan!Y36-Spielplan!AA56)&gt;(Spielplan!Y36+Spielplan!AA56-Spielplan!AA36-Spielplan!Y56),0.00001,0))+IF(ISERROR(((Spielplan!AA36+Spielplan!Y56)/(Spielplan!Y36+Spielplan!AA56))&gt;((Spielplan!Y36+Spielplan!AA56)/(Spielplan!AA36+Spielplan!Y56))),0,IF(((Spielplan!AA36+Spielplan!Y56)/(Spielplan!Y36+Spielplan!AA56))&gt;((Spielplan!Y36+Spielplan!AA56)/(Spielplan!AA36+Spielplan!Y56)),0.000001,0))+IF((Spielplan!AF36+Spielplan!AD56-Spielplan!AD36-Spielplan!AF56)&gt;(Spielplan!AD36+Spielplan!AF56-Spielplan!AF36-Spielplan!AD56),0.0000001,0),0)</f>
        <v>0</v>
      </c>
      <c r="AQ19" s="229">
        <f>SUM(IF(V19&gt;V17,1,0)+IF(Y19&gt;Y17,0.1,0)+IF(AC19&gt;AC17,0.01,0)+IF(AD19&gt;AD17,0.001,0)+IF(AH19&gt;AH17,0.0001,0))</f>
        <v>0</v>
      </c>
      <c r="AR19" s="259">
        <f>IF(AM19=AM17,SUM(IF((Spielplan!AA34+Spielplan!Y60-Spielplan!Y34-Spielplan!AA60)&gt;(Spielplan!Y34+Spielplan!AA60-Spielplan!AA34-Spielplan!Y60),0.00001,0))+IF(ISERROR(((Spielplan!AA34+Spielplan!Y60)/(Spielplan!Y34+Spielplan!AA60))&gt;((Spielplan!Y34+Spielplan!AA60)/(Spielplan!AA34+Spielplan!Y60))),0,IF(((Spielplan!AA34+Spielplan!Y60)/(Spielplan!Y34+Spielplan!AA60))&gt;((Spielplan!Y34+Spielplan!AA60)/(Spielplan!AA34+Spielplan!Y60)),0.000001,0))+IF((Spielplan!AF34+Spielplan!AD60-Spielplan!AD34-Spielplan!AF60)&gt;(Spielplan!AD34+Spielplan!AF60-Spielplan!AF34-Spielplan!AD60),0.0000001,0),0)</f>
        <v>0</v>
      </c>
      <c r="AS19" s="229">
        <f>SUM(IF(V19&gt;V18,1,0)+IF(Y19&gt;Y18,0.1,0)+IF(AC19&gt;AC18,0.01,0)+IF(AD19&gt;AD18,0.001,0)+IF(AH19&gt;AH18,0.0001,0))</f>
        <v>0</v>
      </c>
      <c r="AT19" s="259">
        <f>IF(AM19=AM18,SUM(IF((Spielplan!AA8+Spielplan!Y41-Spielplan!Y8-Spielplan!AA41)&gt;(Spielplan!Y8+Spielplan!AA41-Spielplan!AA8-Spielplan!Y41),0.00001,0))+IF(ISERROR(((Spielplan!AA8+Spielplan!Y41)/(Spielplan!Y8+Spielplan!AA41))&gt;((Spielplan!Y8+Spielplan!AA41)/(Spielplan!AA8+Spielplan!Y41))),0,IF(((Spielplan!AA8+Spielplan!Y41)/(Spielplan!Y8+Spielplan!AA41))&gt;((Spielplan!Y8+Spielplan!AA41)/(Spielplan!AA8+Spielplan!Y41)),0.000001,0))+IF((Spielplan!AF8+Spielplan!AD41-Spielplan!AD8-Spielplan!AF41)&gt;(Spielplan!AD8+Spielplan!AF41-Spielplan!AF8-Spielplan!AD41),0.0000001,0),0)</f>
        <v>0</v>
      </c>
      <c r="AU19" s="302" t="s">
        <v>106</v>
      </c>
      <c r="AV19" s="303"/>
      <c r="AW19" s="227">
        <f>SUM(IF(V19&gt;V20,1,0)+IF(Y19&gt;Y20,0.1,0)+IF(AC19&gt;AC20,0.01,0)+IF(AD19&gt;AD20,0.001,0)+IF(AH19&gt;AH20,0.0001,0))</f>
        <v>0</v>
      </c>
      <c r="AX19" s="259">
        <f>IF(AM19=AM20,SUM(IF((Spielplan!Y11+Spielplan!AA40-Spielplan!AA11-Spielplan!Y40)&gt;(Spielplan!AA11+Spielplan!Y40-Spielplan!Y11-Spielplan!AA40),0.00001,0))+IF(ISERROR(((Spielplan!Y11+Spielplan!AA40)/(Spielplan!AA11+Spielplan!Y40))&gt;((Spielplan!AA11+Spielplan!Y40)/(Spielplan!Y11+Spielplan!AA40))),0,IF(((Spielplan!Y11+Spielplan!AA40)/(Spielplan!AA11+Spielplan!Y40))&gt;((Spielplan!AA11+Spielplan!Y40)/(Spielplan!Y11+Spielplan!AA40)),0.000001,0))+IF((Spielplan!AD11+Spielplan!AF40-Spielplan!AF11-Spielplan!AD40)&gt;(Spielplan!AF11+Spielplan!AD40-Spielplan!AD11-Spielplan!AF40),0.0000001,0),0)</f>
        <v>0</v>
      </c>
      <c r="AY19" s="227">
        <f>SUM(IF(V19&gt;V21,1,0)+IF(Y19&gt;Y21,0.1,0)+IF(AC19&gt;AC21,0.01,0)+IF(AD19&gt;AD21,0.001,0)+IF(AH19&gt;AH21,0.0001,0))</f>
        <v>0</v>
      </c>
      <c r="AZ19" s="259">
        <f>IF(AM19=AM21,SUM(IF((Spielplan!Y15+Spielplan!AA62-Spielplan!AA15-Spielplan!Y62)&gt;(Spielplan!AA15+Spielplan!Y62-Spielplan!Y15-Spielplan!AA62),0.00001,0))+IF(ISERROR(((Spielplan!Y15+Spielplan!AA62)/(Spielplan!AA15+Spielplan!Y62))&gt;((Spielplan!AA15+Spielplan!Y62)/(Spielplan!Y15+Spielplan!AA62))),0,IF(((Spielplan!Y15+Spielplan!AA62)/(Spielplan!AA15+Spielplan!Y62))&gt;((Spielplan!AA15+Spielplan!Y62)/(Spielplan!Y15+Spielplan!AA62)),0.000001,0))+IF((Spielplan!AD15+Spielplan!AF62-Spielplan!AF15-Spielplan!AD62)&gt;(Spielplan!AF15+Spielplan!AD62-Spielplan!AD15-Spielplan!AF62),0.0000001,0),0)</f>
        <v>0</v>
      </c>
      <c r="BA19" s="227">
        <f>SUM(IF(V19&gt;V22,1,0)+IF(Y19&gt;Y22,0.1,0)+IF(AC19&gt;AC22,0.01,0)+IF(AD19&gt;AD22,0.001,0)+IF(AH19&gt;AH22,0.0001,0))</f>
        <v>0</v>
      </c>
      <c r="BB19" s="259">
        <f>IF(AM19=AM22,SUM(IF((Spielplan!Y20+Spielplan!AA54-Spielplan!AA20-Spielplan!Y54)&gt;(Spielplan!AA20+Spielplan!Y54-Spielplan!Y20-Spielplan!AA54),0.00001,0))+IF(ISERROR(((Spielplan!Y20+Spielplan!AA54)/(Spielplan!AA20+Spielplan!Y54))&gt;((Spielplan!AA20+Spielplan!Y54)/(Spielplan!Y20+Spielplan!AA54))),0,IF(((Spielplan!Y20+Spielplan!AA54)/(Spielplan!AA20+Spielplan!Y54))&gt;((Spielplan!AA20+Spielplan!Y54)/(Spielplan!Y20+Spielplan!AA54)),0.000001,0))+IF((Spielplan!AD20+Spielplan!AF54-Spielplan!AF20-Spielplan!AD54)&gt;(Spielplan!AF20+Spielplan!AD54-Spielplan!AD20-Spielplan!AF54),0.0000001,0),0)</f>
        <v>0</v>
      </c>
      <c r="BC19" s="228"/>
      <c r="BD19" s="228">
        <f t="shared" si="2"/>
        <v>6.0000000000000008E-8</v>
      </c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10"/>
    </row>
    <row r="20" spans="1:79" s="24" customFormat="1" x14ac:dyDescent="0.2">
      <c r="A20" s="13" t="e">
        <f>VLOOKUP(5,Tabelle,1,0)</f>
        <v>#N/A</v>
      </c>
      <c r="B20" s="23" t="e">
        <f>VLOOKUP(5,Tabelle,2,0)</f>
        <v>#N/A</v>
      </c>
      <c r="C20" s="22" t="e">
        <f>VLOOKUP(5,Tabelle,3,0)</f>
        <v>#N/A</v>
      </c>
      <c r="D20" s="22" t="e">
        <f>VLOOKUP(5,Tabelle,4,0)</f>
        <v>#N/A</v>
      </c>
      <c r="E20" s="22" t="s">
        <v>0</v>
      </c>
      <c r="F20" s="22" t="e">
        <f>VLOOKUP(5,Tabelle,6,0)</f>
        <v>#N/A</v>
      </c>
      <c r="G20" s="10"/>
      <c r="H20" s="13" t="e">
        <f>VLOOKUP(5,Tabelle,8,0)</f>
        <v>#N/A</v>
      </c>
      <c r="I20" s="22" t="s">
        <v>0</v>
      </c>
      <c r="J20" s="13" t="e">
        <f>VLOOKUP(5,Tabelle,10,0)</f>
        <v>#N/A</v>
      </c>
      <c r="K20" s="106" t="e">
        <f>VLOOKUP(5,Tabelle,11,0)</f>
        <v>#N/A</v>
      </c>
      <c r="L20" s="22" t="e">
        <f>VLOOKUP(5,Tabelle,13,0)</f>
        <v>#N/A</v>
      </c>
      <c r="M20" s="22" t="s">
        <v>0</v>
      </c>
      <c r="N20" s="22" t="e">
        <f>VLOOKUP(5,Tabelle,15,0)</f>
        <v>#N/A</v>
      </c>
      <c r="O20" s="106" t="e">
        <f>VLOOKUP(5,S16:AI22,16,0)</f>
        <v>#N/A</v>
      </c>
      <c r="P20" s="20"/>
      <c r="R20" s="215">
        <v>1</v>
      </c>
      <c r="S20" s="181">
        <f t="shared" si="0"/>
        <v>7</v>
      </c>
      <c r="T20" s="103" t="s">
        <v>164</v>
      </c>
      <c r="U20" s="124">
        <f t="shared" si="3"/>
        <v>0</v>
      </c>
      <c r="V20" s="126">
        <f>Spielplan!W9+Spielplan!W11+Spielplan!W14+Spielplan!U19+Spielplan!U31+Spielplan!W33+Spielplan!W38+Spielplan!U40+Spielplan!W42+Spielplan!U52+Spielplan!U55+Spielplan!U58</f>
        <v>0</v>
      </c>
      <c r="W20" s="126" t="s">
        <v>0</v>
      </c>
      <c r="X20" s="126">
        <f>Spielplan!U9+Spielplan!U11+Spielplan!U14+Spielplan!W19+Spielplan!W31+Spielplan!U33+Spielplan!U38+Spielplan!W40+Spielplan!U42+Spielplan!W52+Spielplan!W55+Spielplan!W58</f>
        <v>0</v>
      </c>
      <c r="Y20" s="124">
        <f t="shared" si="4"/>
        <v>0</v>
      </c>
      <c r="Z20" s="126">
        <f>Spielplan!AA9+Spielplan!AA11+Spielplan!AA14+Spielplan!Y19+Spielplan!Y31+Spielplan!AA33+Spielplan!AA38+Spielplan!Y40+Spielplan!AA42+Spielplan!Y52+Spielplan!Y55+Spielplan!Y58</f>
        <v>0</v>
      </c>
      <c r="AA20" s="126" t="s">
        <v>0</v>
      </c>
      <c r="AB20" s="126">
        <f>Spielplan!Y9+Spielplan!Y11+Spielplan!Y14+Spielplan!AA19+Spielplan!AA31+Spielplan!Y33+Spielplan!Y38+Spielplan!AA40+Spielplan!Y42+Spielplan!AA52+Spielplan!AA55+Spielplan!AA58</f>
        <v>0</v>
      </c>
      <c r="AC20" s="125">
        <f t="shared" si="5"/>
        <v>0</v>
      </c>
      <c r="AD20" s="185">
        <f t="shared" si="6"/>
        <v>0</v>
      </c>
      <c r="AE20" s="126">
        <f>Spielplan!AF9+Spielplan!AF11+Spielplan!AF14+Spielplan!AD19+Spielplan!AD31+Spielplan!AF33+Spielplan!AF38+Spielplan!AD40+Spielplan!AF42+Spielplan!AD52+Spielplan!AD55+Spielplan!AD58</f>
        <v>0</v>
      </c>
      <c r="AF20" s="126" t="s">
        <v>0</v>
      </c>
      <c r="AG20" s="126">
        <f>Spielplan!AD9+Spielplan!AD11+Spielplan!AD14+Spielplan!AF19+Spielplan!AF31+Spielplan!AD33+Spielplan!AD38+Spielplan!AF40+Spielplan!AD42+Spielplan!AF52+Spielplan!AF55+Spielplan!AF58</f>
        <v>0</v>
      </c>
      <c r="AH20" s="125">
        <f t="shared" si="7"/>
        <v>0</v>
      </c>
      <c r="AI20" s="216">
        <f t="shared" si="8"/>
        <v>7</v>
      </c>
      <c r="AJ20" s="127"/>
      <c r="AK20" s="109">
        <f>7-SUM(IF(AL20&gt;AL16,1,0)+IF(AL20&gt;AL17,1,0)+IF(AL20&gt;AL18,1,0)+IF(AL20&gt;AL19,1,0)+IF(AL20&gt;AL21,1,0)+IF(AL20&gt;AL22,1,0))</f>
        <v>7</v>
      </c>
      <c r="AL20" s="226">
        <f t="shared" si="1"/>
        <v>6.0000000000000008E-8</v>
      </c>
      <c r="AM20" s="227">
        <f>AO20+AQ20+AS20+AU20+AY20+BA20</f>
        <v>0</v>
      </c>
      <c r="AN20" s="233">
        <f>AP20+AR20+AT20+AV20+AZ20+BB20</f>
        <v>0</v>
      </c>
      <c r="AO20" s="227">
        <f>SUM(IF(V20&gt;V16,1,0)+IF(Y20&gt;Y16,0.1,0)+IF(AC20&gt;AC16,0.01,0)+IF(AD20&gt;AD16,0.001,0)+IF(AH20&gt;AH16,0.0001,0))</f>
        <v>0</v>
      </c>
      <c r="AP20" s="259">
        <f>IF(AM20=AM16,SUM(IF((Spielplan!AA9+Spielplan!Y52-Spielplan!Y9-Spielplan!AA52)&gt;(Spielplan!Y9+Spielplan!AA52-Spielplan!AA9-Spielplan!Y52),0.00001,0))+IF(ISERROR(((Spielplan!AA9+Spielplan!Y52)/(Spielplan!Y9+Spielplan!AA52))&gt;((Spielplan!Y9+Spielplan!AA52)/(Spielplan!AA9+Spielplan!Y52))),0,IF(((Spielplan!AA9+Spielplan!Y52)/(Spielplan!Y9+Spielplan!AA52))&gt;((Spielplan!Y9+Spielplan!AA52)/(Spielplan!AA9+Spielplan!Y52)),0.000001,0))+IF((Spielplan!AF9+Spielplan!AD52-Spielplan!AD9-Spielplan!AF52)&gt;(Spielplan!AD9+Spielplan!AF52-Spielplan!AF9-Spielplan!AD52),0.0000001,0),0)</f>
        <v>0</v>
      </c>
      <c r="AQ20" s="229">
        <f>SUM(IF(V20&gt;V17,1,0)+IF(Y20&gt;Y17,0.1,0)+IF(AC20&gt;AC17,0.01,0)+IF(AD20&gt;AD17,0.001,0)+IF(AH20&gt;AH17,0.0001,0))</f>
        <v>0</v>
      </c>
      <c r="AR20" s="259">
        <f>IF(AM20=AM17,SUM(IF((Spielplan!AA14+Spielplan!Y58-Spielplan!Y14-Spielplan!AA58)&gt;(Spielplan!Y14+Spielplan!AA58-Spielplan!AA14-Spielplan!Y58),0.00001,0))+IF(ISERROR(((Spielplan!AA14+Spielplan!Y58)/(Spielplan!Y14+Spielplan!AA58))&gt;((Spielplan!Y14+Spielplan!AA58)/(Spielplan!AA14+Spielplan!Y58))),0,IF(((Spielplan!AA14+Spielplan!Y58)/(Spielplan!Y14+Spielplan!AA58))&gt;((Spielplan!Y14+Spielplan!AA58)/(Spielplan!AA14+Spielplan!Y58)),0.000001,0))+IF((Spielplan!AF14+Spielplan!AD58-Spielplan!AD14-Spielplan!AF58)&gt;(Spielplan!AD14+Spielplan!AF58-Spielplan!AF14-Spielplan!AD58),0.0000001,0),0)</f>
        <v>0</v>
      </c>
      <c r="AS20" s="229">
        <f>SUM(IF(V20&gt;V18,1,0)+IF(Y20&gt;Y18,0.1,0)+IF(AC20&gt;AC18,0.01,0)+IF(AD20&gt;AD18,0.001,0)+IF(AH20&gt;AH18,0.0001,0))</f>
        <v>0</v>
      </c>
      <c r="AT20" s="259">
        <f>IF(AM20=AM18,SUM(IF((Spielplan!AA33+Spielplan!Y55-Spielplan!Y33-Spielplan!AA55)&gt;(Spielplan!Y33+Spielplan!AA55-Spielplan!AA33-Spielplan!Y55),0.00001,0))+IF(ISERROR(((Spielplan!AA33+Spielplan!Y55)/(Spielplan!Y33+Spielplan!AA55))&gt;((Spielplan!Y33+Spielplan!AA55)/(Spielplan!AA33+Spielplan!Y55))),0,IF(((Spielplan!AA33+Spielplan!Y55)/(Spielplan!Y33+Spielplan!AA55))&gt;((Spielplan!Y33+Spielplan!AA55)/(Spielplan!AA33+Spielplan!Y55)),0.000001,0))+IF((Spielplan!AF33+Spielplan!AD55-Spielplan!AD33-Spielplan!AF55)&gt;(Spielplan!AD33+Spielplan!AF55-Spielplan!AF33-Spielplan!AD55),0.0000001,0),0)</f>
        <v>0</v>
      </c>
      <c r="AU20" s="229">
        <f>SUM(IF(V20&gt;V19,1,0)+IF(Y20&gt;Y19,0.1,0)+IF(AC20&gt;AC19,0.01,0)+IF(AD20&gt;AD19,0.001,0)+IF(AH20&gt;AH19,0.0001,0))</f>
        <v>0</v>
      </c>
      <c r="AV20" s="259">
        <f>IF(AM20=AM19,SUM(IF((Spielplan!AA11+Spielplan!Y40-Spielplan!Y11-Spielplan!AA40)&gt;(Spielplan!Y11+Spielplan!AA40-Spielplan!AA11-Spielplan!Y40),0.00001,0))+IF(ISERROR(((Spielplan!AA11+Spielplan!Y40)/(Spielplan!Y11+Spielplan!AA40))&gt;((Spielplan!Y11+Spielplan!AA40)/(Spielplan!AA11+Spielplan!Y40))),0,IF(((Spielplan!AA11+Spielplan!Y40)/(Spielplan!Y11+Spielplan!AA40))&gt;((Spielplan!Y11+Spielplan!AA40)/(Spielplan!AA11+Spielplan!Y40)),0.000001,0))+IF((Spielplan!AF11+Spielplan!AD40-Spielplan!AD11-Spielplan!AF40)&gt;(Spielplan!AD11+Spielplan!AF40-Spielplan!AF11-Spielplan!AD40),0.0000001,0),0)</f>
        <v>0</v>
      </c>
      <c r="AW20" s="302" t="s">
        <v>106</v>
      </c>
      <c r="AX20" s="303"/>
      <c r="AY20" s="227">
        <f>SUM(IF(V20&gt;V21,1,0)+IF(Y20&gt;Y21,0.1,0)+IF(AC20&gt;AC21,0.01,0)+IF(AD20&gt;AD21,0.001,0)+IF(AH20&gt;AH21,0.0001,0))</f>
        <v>0</v>
      </c>
      <c r="AZ20" s="259">
        <f>IF(AM20=AM21,SUM(IF((Spielplan!Y19+Spielplan!AA38-Spielplan!AA19-Spielplan!Y38)&gt;(Spielplan!AA19+Spielplan!Y38-Spielplan!Y19-Spielplan!AA38),0.00001,0))+IF(ISERROR(((Spielplan!Y19+Spielplan!AA38)/(Spielplan!AA19+Spielplan!Y38))&gt;((Spielplan!AA19+Spielplan!Y38)/(Spielplan!Y19+Spielplan!AA38))),0,IF(((Spielplan!Y19+Spielplan!AA38)/(Spielplan!AA19+Spielplan!Y38))&gt;((Spielplan!AA19+Spielplan!Y38)/(Spielplan!Y19+Spielplan!AA38)),0.000001,0))+IF((Spielplan!AD19+Spielplan!AF38-Spielplan!AF19-Spielplan!AD38)&gt;(Spielplan!AF19+Spielplan!AD38-Spielplan!AD19-Spielplan!AF38),0.0000001,0),0)</f>
        <v>0</v>
      </c>
      <c r="BA20" s="227">
        <f>SUM(IF(V20&gt;V22,1,0)+IF(Y20&gt;Y22,0.1,0)+IF(AC20&gt;AC22,0.01,0)+IF(AD20&gt;AD22,0.001,0)+IF(AH20&gt;AH22,0.0001,0))</f>
        <v>0</v>
      </c>
      <c r="BB20" s="259">
        <f>IF(AM20=AM22,SUM(IF((Spielplan!Y31+Spielplan!AA49-Spielplan!AA31-Spielplan!Y49)&gt;(Spielplan!AA31+Spielplan!Y49-Spielplan!Y31-Spielplan!AA49),0.00001,0))+IF(ISERROR(((Spielplan!Y31+Spielplan!AA49)/(Spielplan!AA31+Spielplan!Y49))&gt;((Spielplan!AA31+Spielplan!Y49)/(Spielplan!Y31+Spielplan!AA49))),0,IF(((Spielplan!Y31+Spielplan!AA49)/(Spielplan!AA31+Spielplan!Y49))&gt;((Spielplan!AA31+Spielplan!Y49)/(Spielplan!Y31+Spielplan!AA49)),0.000001,0))+IF((Spielplan!AD31+Spielplan!AF49-Spielplan!AF31-Spielplan!AD49)&gt;(Spielplan!AF31+Spielplan!AD49-Spielplan!AD31-Spielplan!AF49),0.0000001,0),0)</f>
        <v>0</v>
      </c>
      <c r="BC20" s="228"/>
      <c r="BD20" s="228">
        <f t="shared" si="2"/>
        <v>6.0000000000000008E-8</v>
      </c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10"/>
    </row>
    <row r="21" spans="1:79" s="24" customFormat="1" x14ac:dyDescent="0.2">
      <c r="A21" s="13" t="e">
        <f>VLOOKUP(6,Tabelle,1,0)</f>
        <v>#N/A</v>
      </c>
      <c r="B21" s="23" t="e">
        <f>VLOOKUP(6,Tabelle,2,0)</f>
        <v>#N/A</v>
      </c>
      <c r="C21" s="22" t="e">
        <f>VLOOKUP(6,Tabelle,3,0)</f>
        <v>#N/A</v>
      </c>
      <c r="D21" s="22" t="e">
        <f>VLOOKUP(6,Tabelle,4,0)</f>
        <v>#N/A</v>
      </c>
      <c r="E21" s="22" t="s">
        <v>0</v>
      </c>
      <c r="F21" s="22" t="e">
        <f>VLOOKUP(6,Tabelle,6,0)</f>
        <v>#N/A</v>
      </c>
      <c r="G21" s="10"/>
      <c r="H21" s="13" t="e">
        <f>VLOOKUP(6,Tabelle,8,0)</f>
        <v>#N/A</v>
      </c>
      <c r="I21" s="22" t="s">
        <v>0</v>
      </c>
      <c r="J21" s="13" t="e">
        <f>VLOOKUP(6,Tabelle,10,0)</f>
        <v>#N/A</v>
      </c>
      <c r="K21" s="106" t="e">
        <f>VLOOKUP(6,Tabelle,11,0)</f>
        <v>#N/A</v>
      </c>
      <c r="L21" s="22" t="e">
        <f>VLOOKUP(6,Tabelle,13,0)</f>
        <v>#N/A</v>
      </c>
      <c r="M21" s="22" t="s">
        <v>0</v>
      </c>
      <c r="N21" s="22" t="e">
        <f>VLOOKUP(6,Tabelle,15,0)</f>
        <v>#N/A</v>
      </c>
      <c r="O21" s="106" t="e">
        <f>VLOOKUP(6,S16:AI22,16,0)</f>
        <v>#N/A</v>
      </c>
      <c r="P21" s="20"/>
      <c r="R21" s="215">
        <v>1</v>
      </c>
      <c r="S21" s="181">
        <f t="shared" si="0"/>
        <v>7</v>
      </c>
      <c r="T21" s="103" t="s">
        <v>165</v>
      </c>
      <c r="U21" s="124">
        <f t="shared" si="3"/>
        <v>0</v>
      </c>
      <c r="V21" s="126">
        <f>Spielplan!U12+Spielplan!W15+Spielplan!W17+Spielplan!W19+Spielplan!W30+Spielplan!W32+Spielplan!W35+Spielplan!U38+Spielplan!U50+Spielplan!U53+Spielplan!U57+Spielplan!U62</f>
        <v>0</v>
      </c>
      <c r="W21" s="126" t="s">
        <v>0</v>
      </c>
      <c r="X21" s="126">
        <f>Spielplan!W12+Spielplan!U15+Spielplan!U17+Spielplan!U19+Spielplan!U30+Spielplan!U32+Spielplan!U35+Spielplan!W38+Spielplan!W50+Spielplan!W53+Spielplan!W57+Spielplan!W62</f>
        <v>0</v>
      </c>
      <c r="Y21" s="124">
        <f t="shared" si="4"/>
        <v>0</v>
      </c>
      <c r="Z21" s="126">
        <f>Spielplan!Y12+Spielplan!AA15+Spielplan!AA17+Spielplan!AA19+Spielplan!AA30+Spielplan!AA32+Spielplan!AA35+Spielplan!Y38+Spielplan!Y50+Spielplan!Y53+Spielplan!Y57+Spielplan!Y62</f>
        <v>0</v>
      </c>
      <c r="AA21" s="126" t="s">
        <v>0</v>
      </c>
      <c r="AB21" s="126">
        <f>Spielplan!AA12+Spielplan!Y15+Spielplan!Y17+Spielplan!Y19+Spielplan!Y30+Spielplan!Y32+Spielplan!Y35+Spielplan!AA38+Spielplan!AA50+Spielplan!AA53+Spielplan!AA57+Spielplan!AA62</f>
        <v>0</v>
      </c>
      <c r="AC21" s="125">
        <f t="shared" si="5"/>
        <v>0</v>
      </c>
      <c r="AD21" s="185">
        <f t="shared" si="6"/>
        <v>0</v>
      </c>
      <c r="AE21" s="126">
        <f>Spielplan!AD12+Spielplan!AF15+Spielplan!AF17+Spielplan!AF19+Spielplan!AF30+Spielplan!AF32+Spielplan!AF35+Spielplan!AD38+Spielplan!AD50+Spielplan!AD53+Spielplan!AD57+Spielplan!AD62</f>
        <v>0</v>
      </c>
      <c r="AF21" s="126" t="s">
        <v>0</v>
      </c>
      <c r="AG21" s="126">
        <f>Spielplan!AF12+Spielplan!AD15+Spielplan!AD17+Spielplan!AD19+Spielplan!AD30+Spielplan!AD32+Spielplan!AD35+Spielplan!AF38+Spielplan!AF50+Spielplan!AF53+Spielplan!AF57+Spielplan!AF62</f>
        <v>0</v>
      </c>
      <c r="AH21" s="125">
        <f t="shared" si="7"/>
        <v>0</v>
      </c>
      <c r="AI21" s="216">
        <f t="shared" si="8"/>
        <v>7</v>
      </c>
      <c r="AJ21" s="127"/>
      <c r="AK21" s="109">
        <f>7-SUM(IF(AL21&gt;AL16,1,0)+IF(AL21&gt;AL17,1,0)+IF(AL21&gt;AL18,1,0)+IF(AL21&gt;AL19,1,0)+IF(AL21&gt;AL20,1,0)+IF(AL21&gt;AL22,1,0))</f>
        <v>7</v>
      </c>
      <c r="AL21" s="226">
        <f t="shared" si="1"/>
        <v>6.0000000000000008E-8</v>
      </c>
      <c r="AM21" s="227">
        <f>AO21+AQ21+AS21+AU21+AW21+BA21</f>
        <v>0</v>
      </c>
      <c r="AN21" s="233">
        <f>AP21+AR21+AT21+AV21+AX21+BB21</f>
        <v>0</v>
      </c>
      <c r="AO21" s="227">
        <f>SUM(IF(V21&gt;V16,1,0)+IF(Y21&gt;Y16,0.1,0)+IF(AC21&gt;AC16,0.01,0)+IF(AD21&gt;AD16,0.001,0)+IF(AH21&gt;AH16,0.0001,0))</f>
        <v>0</v>
      </c>
      <c r="AP21" s="259">
        <f>IF(AM21=AM16,SUM(IF((Spielplan!AA32+Spielplan!Y50-Spielplan!Y32-Spielplan!AA50)&gt;(Spielplan!Y32+Spielplan!AA50-Spielplan!AA32-Spielplan!Y50),0.00001,0))+IF(ISERROR(((Spielplan!AA32+Spielplan!Y50)/(Spielplan!Y32+Spielplan!AA50))&gt;((Spielplan!Y32+Spielplan!AA50)/(Spielplan!AA32+Spielplan!Y50))),0,IF(((Spielplan!AA32+Spielplan!Y50)/(Spielplan!Y32+Spielplan!AA50))&gt;((Spielplan!Y32+Spielplan!AA50)/(Spielplan!AA32+Spielplan!Y50)),0.000001,0))+IF((Spielplan!AF32+Spielplan!AD50-Spielplan!AD32-Spielplan!AF50)&gt;(Spielplan!AD32+Spielplan!AF50-Spielplan!AF32-Spielplan!AD50),0.0000001,0),0)</f>
        <v>0</v>
      </c>
      <c r="AQ21" s="229">
        <f>SUM(IF(V21&gt;V17,1,0)+IF(Y21&gt;Y17,0.1,0)+IF(AC21&gt;AC17,0.01,0)+IF(AD21&gt;AD17,0.001,0)+IF(AH21&gt;AH17,0.0001,0))</f>
        <v>0</v>
      </c>
      <c r="AR21" s="259">
        <f>IF(AM21=AM17,SUM(IF((Spielplan!AA30+Spielplan!Y53-Spielplan!Y30-Spielplan!AA53)&gt;(Spielplan!Y30+Spielplan!AA53-Spielplan!AA30-Spielplan!Y53),0.00001,0))+IF(ISERROR(((Spielplan!AA30+Spielplan!Y53)/(Spielplan!Y30+Spielplan!AA53))&gt;((Spielplan!Y30+Spielplan!AA53)/(Spielplan!AA30+Spielplan!Y53))),0,IF(((Spielplan!AA30+Spielplan!Y53)/(Spielplan!Y30+Spielplan!AA53))&gt;((Spielplan!Y30+Spielplan!AA53)/(Spielplan!AA30+Spielplan!Y53)),0.000001,0))+IF((Spielplan!AF30+Spielplan!AD53-Spielplan!AD30-Spielplan!AF53)&gt;(Spielplan!AD30+Spielplan!AF53-Spielplan!AF30-Spielplan!AD53),0.0000001,0),0)</f>
        <v>0</v>
      </c>
      <c r="AS21" s="229">
        <f>SUM(IF(V21&gt;V18,1,0)+IF(Y21&gt;Y18,0.1,0)+IF(AC21&gt;AC18,0.01,0)+IF(AD21&gt;AD18,0.001,0)+IF(AH21&gt;AH18,0.0001,0))</f>
        <v>0</v>
      </c>
      <c r="AT21" s="259">
        <f>IF(AM21=AM18,SUM(IF((Spielplan!AA17+Spielplan!Y57-Spielplan!Y17-Spielplan!AA57)&gt;(Spielplan!Y17+Spielplan!AA57-Spielplan!AA17-Spielplan!Y57),0.00001,0))+IF(ISERROR(((Spielplan!AA17+Spielplan!Y57)/(Spielplan!Y17+Spielplan!AA57))&gt;((Spielplan!Y17+Spielplan!AA57)/(Spielplan!AA17+Spielplan!Y57))),0,IF(((Spielplan!AA17+Spielplan!Y57)/(Spielplan!Y17+Spielplan!AA57))&gt;((Spielplan!Y17+Spielplan!AA57)/(Spielplan!AA17+Spielplan!Y57)),0.000001,0))+IF((Spielplan!AF17+Spielplan!AD57-Spielplan!AD17-Spielplan!AF57)&gt;(Spielplan!AD17+Spielplan!AF57-Spielplan!AF17-Spielplan!AD57),0.0000001,0),0)</f>
        <v>0</v>
      </c>
      <c r="AU21" s="229">
        <f>SUM(IF(V21&gt;V19,1,0)+IF(Y21&gt;Y19,0.1,0)+IF(AC21&gt;AC19,0.01,0)+IF(AD21&gt;AD19,0.001,0)+IF(AH21&gt;AH19,0.0001,0))</f>
        <v>0</v>
      </c>
      <c r="AV21" s="259">
        <f>IF(AM21=AM19,SUM(IF((Spielplan!AA15+Spielplan!Y62-Spielplan!Y15-Spielplan!AA62)&gt;(Spielplan!Y15+Spielplan!AA62-Spielplan!AA15-Spielplan!Y62),0.00001,0))+IF(ISERROR(((Spielplan!AA15+Spielplan!Y62)/(Spielplan!Y15+Spielplan!AA62))&gt;((Spielplan!Y15+Spielplan!AA62)/(Spielplan!AA15+Spielplan!Y62))),0,IF(((Spielplan!AA15+Spielplan!Y62)/(Spielplan!Y15+Spielplan!AA62))&gt;((Spielplan!Y15+Spielplan!AA62)/(Spielplan!AA15+Spielplan!Y62)),0.000001,0))+IF((Spielplan!AF15+Spielplan!AD62-Spielplan!AD15-Spielplan!AF62)&gt;(Spielplan!AD15+Spielplan!AF62-Spielplan!AF15-Spielplan!AD62),0.0000001,0),0)</f>
        <v>0</v>
      </c>
      <c r="AW21" s="229">
        <f>SUM(IF(V21&gt;V20,1,0)+IF(Y21&gt;Y20,0.1,0)+IF(AC21&gt;AC20,0.01,0)+IF(AD21&gt;AD20,0.001,0)+IF(AH21&gt;AH20,0.0001,0))</f>
        <v>0</v>
      </c>
      <c r="AX21" s="259">
        <f>IF(AM21=AM20,SUM(IF((Spielplan!AA19+Spielplan!Y38-Spielplan!Y19-Spielplan!AA38)&gt;(Spielplan!Y19+Spielplan!AA38-Spielplan!AA19-Spielplan!Y38),0.00001,0))+IF(ISERROR(((Spielplan!AA19+Spielplan!Y38)/(Spielplan!Y19+Spielplan!AA38))&gt;((Spielplan!Y19+Spielplan!AA38)/(Spielplan!AA19+Spielplan!Y38))),0,IF(((Spielplan!AA19+Spielplan!Y38)/(Spielplan!Y19+Spielplan!AA38))&gt;((Spielplan!Y19+Spielplan!AA38)/(Spielplan!AA19+Spielplan!Y38)),0.000001,0))+IF((Spielplan!AF19+Spielplan!AD38-Spielplan!AD19-Spielplan!AF38)&gt;(Spielplan!AD19+Spielplan!AF38-Spielplan!AF19-Spielplan!AD38),0.0000001,0),0)</f>
        <v>0</v>
      </c>
      <c r="AY21" s="302" t="s">
        <v>106</v>
      </c>
      <c r="AZ21" s="303"/>
      <c r="BA21" s="227">
        <f>SUM(IF(V21&gt;V22,1,0)+IF(Y21&gt;Y22,0.1,0)+IF(AC21&gt;AC22,0.01,0)+IF(AD21&gt;AD22,0.001,0)+IF(AH21&gt;AH22,0.0001,0))</f>
        <v>0</v>
      </c>
      <c r="BB21" s="259">
        <f>IF(AM21=AM22,SUM(IF((Spielplan!Y12+Spielplan!AA35-Spielplan!AA12-Spielplan!Y35)&gt;(Spielplan!AA12+Spielplan!Y35-Spielplan!Y12-Spielplan!AA35),0.00001,0))+IF(ISERROR(((Spielplan!Y12+Spielplan!AA35)/(Spielplan!AA12+Spielplan!Y35))&gt;((Spielplan!AA12+Spielplan!Y35)/(Spielplan!Y12+Spielplan!AA35))),0,IF(((Spielplan!Y12+Spielplan!AA35)/(Spielplan!AA12+Spielplan!Y35))&gt;((Spielplan!AA12+Spielplan!Y35)/(Spielplan!Y12+Spielplan!AA35)),0.000001,0))+IF((Spielplan!AD12+Spielplan!AF35-Spielplan!AF12-Spielplan!AD35)&gt;(Spielplan!AF12+Spielplan!AD35-Spielplan!AD12-Spielplan!AF35),0.0000001,0),0)</f>
        <v>0</v>
      </c>
      <c r="BC21" s="228"/>
      <c r="BD21" s="228">
        <f t="shared" si="2"/>
        <v>6.0000000000000008E-8</v>
      </c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10"/>
    </row>
    <row r="22" spans="1:79" s="24" customFormat="1" x14ac:dyDescent="0.2">
      <c r="A22" s="13">
        <f>VLOOKUP(7,Tabelle,1,0)</f>
        <v>7</v>
      </c>
      <c r="B22" s="23" t="str">
        <f>VLOOKUP(7,Tabelle,2,0)</f>
        <v>Mannschaft 1</v>
      </c>
      <c r="C22" s="22">
        <f>VLOOKUP(7,Tabelle,3,0)</f>
        <v>0</v>
      </c>
      <c r="D22" s="22">
        <f>VLOOKUP(7,Tabelle,4,0)</f>
        <v>0</v>
      </c>
      <c r="E22" s="22" t="s">
        <v>0</v>
      </c>
      <c r="F22" s="22">
        <f>VLOOKUP(7,Tabelle,6,0)</f>
        <v>0</v>
      </c>
      <c r="G22" s="10"/>
      <c r="H22" s="13">
        <f>VLOOKUP(7,Tabelle,8,0)</f>
        <v>0</v>
      </c>
      <c r="I22" s="22" t="s">
        <v>0</v>
      </c>
      <c r="J22" s="13">
        <f>VLOOKUP(7,Tabelle,10,0)</f>
        <v>0</v>
      </c>
      <c r="K22" s="106">
        <f>VLOOKUP(7,Tabelle,11,0)</f>
        <v>0</v>
      </c>
      <c r="L22" s="22">
        <f>VLOOKUP(7,Tabelle,13,0)</f>
        <v>0</v>
      </c>
      <c r="M22" s="22" t="s">
        <v>0</v>
      </c>
      <c r="N22" s="22">
        <f>VLOOKUP(7,Tabelle,15,0)</f>
        <v>0</v>
      </c>
      <c r="O22" s="106">
        <f>VLOOKUP(7,S16:AI22,16,0)</f>
        <v>0</v>
      </c>
      <c r="P22" s="20"/>
      <c r="R22" s="215">
        <v>1</v>
      </c>
      <c r="S22" s="181">
        <f t="shared" si="0"/>
        <v>7</v>
      </c>
      <c r="T22" s="103" t="s">
        <v>166</v>
      </c>
      <c r="U22" s="124">
        <f t="shared" si="3"/>
        <v>0</v>
      </c>
      <c r="V22" s="126">
        <f>Spielplan!W12+Spielplan!W16+Spielplan!W18+Spielplan!W20++Spielplan!W29+Spielplan!W31+Spielplan!U35+Spielplan!U39+Spielplan!U42+Spielplan!U51+Spielplan!U54+Spielplan!U59</f>
        <v>0</v>
      </c>
      <c r="W22" s="126" t="s">
        <v>0</v>
      </c>
      <c r="X22" s="126">
        <f>Spielplan!U12+Spielplan!U16+Spielplan!U18+Spielplan!U20+Spielplan!U29+Spielplan!U31+Spielplan!W35+Spielplan!W39+Spielplan!W42+Spielplan!W51+Spielplan!W54+Spielplan!W59</f>
        <v>0</v>
      </c>
      <c r="Y22" s="124">
        <f t="shared" si="4"/>
        <v>0</v>
      </c>
      <c r="Z22" s="126">
        <f>Spielplan!AA12+Spielplan!AA16+Spielplan!AA18+Spielplan!AA20++Spielplan!AA29+Spielplan!AA31+Spielplan!Y35+Spielplan!Y39+Spielplan!Y42+Spielplan!Y51+Spielplan!Y54+Spielplan!Y59</f>
        <v>0</v>
      </c>
      <c r="AA22" s="126" t="s">
        <v>0</v>
      </c>
      <c r="AB22" s="126">
        <f>Spielplan!Y12+Spielplan!Y16+Spielplan!Y18+Spielplan!Y20+Spielplan!Y29+Spielplan!Y31+Spielplan!AA35+Spielplan!AA39+Spielplan!AA42+Spielplan!AA51+Spielplan!AA54+Spielplan!AA59</f>
        <v>0</v>
      </c>
      <c r="AC22" s="125">
        <f t="shared" si="5"/>
        <v>0</v>
      </c>
      <c r="AD22" s="185">
        <f t="shared" si="6"/>
        <v>0</v>
      </c>
      <c r="AE22" s="126">
        <f>Spielplan!AF12+Spielplan!AF16+Spielplan!AF18+Spielplan!AF20++Spielplan!AF29+Spielplan!AF31+Spielplan!AD35+Spielplan!AD39+Spielplan!AD42+Spielplan!AD51+Spielplan!AD54+Spielplan!AD59</f>
        <v>0</v>
      </c>
      <c r="AF22" s="126" t="s">
        <v>0</v>
      </c>
      <c r="AG22" s="126">
        <f>Spielplan!AD12+Spielplan!AD16+Spielplan!AD18+Spielplan!AD20+Spielplan!AD29+Spielplan!AD31+Spielplan!AF35+Spielplan!AF39+Spielplan!AF42+Spielplan!AF51+Spielplan!AF54+Spielplan!AF59</f>
        <v>0</v>
      </c>
      <c r="AH22" s="125">
        <f t="shared" si="7"/>
        <v>0</v>
      </c>
      <c r="AI22" s="216">
        <f t="shared" si="8"/>
        <v>7</v>
      </c>
      <c r="AJ22" s="127"/>
      <c r="AK22" s="109">
        <f>7-SUM(IF(AL22&gt;AL16,1,0)+IF(AL22&gt;AL17,1,0)+IF(AL22&gt;AL18,1,0)+IF(AL22&gt;AL19,1,0)+IF(AL22&gt;AL20,1,0)+IF(AL22&gt;AL21,1,0))</f>
        <v>7</v>
      </c>
      <c r="AL22" s="226">
        <f t="shared" si="1"/>
        <v>6.0000000000000008E-8</v>
      </c>
      <c r="AM22" s="227">
        <f>AO22+AQ22+AS22+AU22+AW22+AY22</f>
        <v>0</v>
      </c>
      <c r="AN22" s="233">
        <f>AP22+AR22+AT22+AV22+AX22+AZ22</f>
        <v>0</v>
      </c>
      <c r="AO22" s="227">
        <f>SUM(IF(V22&gt;V16,1,0)+IF(Y22&gt;Y16,0.1,0)+IF(AC22&gt;AC16,0.01,0)+IF(AD22&gt;AD16,0.001,0)+IF(AH22&gt;AH16,0.0001,0))</f>
        <v>0</v>
      </c>
      <c r="AP22" s="259">
        <f>IF(AM22=AM16,SUM(IF((Spielplan!AA16+Spielplan!Y39-Spielplan!Y16-Spielplan!AA39)&gt;(Spielplan!Y16+Spielplan!AA39-Spielplan!AA16-Spielplan!Y39),0.00001,0))+IF(ISERROR(((Spielplan!AA16+Spielplan!Y39)/(Spielplan!Y16+Spielplan!AA39))&gt;((Spielplan!Y16+Spielplan!AA39)/(Spielplan!AA16+Spielplan!Y39))),0,IF(((Spielplan!AA16+Spielplan!Y39)/(Spielplan!Y16+Spielplan!AA39))&gt;((Spielplan!Y16+Spielplan!AA39)/(Spielplan!AA16+Spielplan!Y39)),0.000001,0))+IF((Spielplan!AF16+Spielplan!AD39-Spielplan!AD16-Spielplan!AF39)&gt;(Spielplan!AD16+Spielplan!AF39-Spielplan!AF16-Spielplan!AD39),0.0000001,0),0)</f>
        <v>0</v>
      </c>
      <c r="AQ22" s="229">
        <f>SUM(IF(V22&gt;V17,1,0)+IF(Y22&gt;Y17,0.1,0)+IF(AC22&gt;AC17,0.01,0)+IF(AD22&gt;AD17,0.001,0)+IF(AH22&gt;AH17,0.0001,0))</f>
        <v>0</v>
      </c>
      <c r="AR22" s="259">
        <f>IF(AM22=AM17,SUM(IF((Spielplan!AA18+Spielplan!Y51-Spielplan!Y18-Spielplan!AA51)&gt;(Spielplan!Y18+Spielplan!AA51-Spielplan!AA18-Spielplan!Y51),0.00001,0))+IF(ISERROR(((Spielplan!AA18+Spielplan!Y51)/(Spielplan!Y18+Spielplan!AA51))&gt;((Spielplan!Y18+Spielplan!AA51)/(Spielplan!AA18+Spielplan!Y51))),0,IF(((Spielplan!AA18+Spielplan!Y51)/(Spielplan!Y18+Spielplan!AA51))&gt;((Spielplan!Y18+Spielplan!AA51)/(Spielplan!AA18+Spielplan!Y51)),0.000001,0))+IF((Spielplan!AF18+Spielplan!AD51-Spielplan!AD18-Spielplan!AF51)&gt;(Spielplan!AD18+Spielplan!AF51-Spielplan!AF18-Spielplan!AD51),0.0000001,0),0)</f>
        <v>0</v>
      </c>
      <c r="AS22" s="229">
        <f>SUM(IF(V22&gt;V18,1,0)+IF(Y22&gt;Y18,0.1,0)+IF(AC22&gt;AC18,0.01,0)+IF(AD22&gt;AD18,0.001,0)+IF(AH22&gt;AH18,0.0001,0))</f>
        <v>0</v>
      </c>
      <c r="AT22" s="260">
        <f>IF(AM22=AM18,SUM(IF((Spielplan!AA29+Spielplan!Y59-Spielplan!Y29-Spielplan!AA59)&gt;(Spielplan!Y29+Spielplan!AA59-Spielplan!AA29-Spielplan!Y59),0.00001,0))+IF(ISERROR(((Spielplan!AA29+Spielplan!Y59)/(Spielplan!Y29+Spielplan!AA59))&gt;((Spielplan!Y29+Spielplan!AA59)/(Spielplan!AA29+Spielplan!Y59))),0,IF(((Spielplan!AA29+Spielplan!Y59)/(Spielplan!Y29+Spielplan!AA59))&gt;((Spielplan!Y29+Spielplan!AA59)/(Spielplan!AA29+Spielplan!Y59)),0.000001,0))+IF((Spielplan!AF29+Spielplan!AD59-Spielplan!AD29-Spielplan!AF59)&gt;(Spielplan!AD29+Spielplan!AF59-Spielplan!AF29-Spielplan!AD59),0.0000001,0),0)</f>
        <v>0</v>
      </c>
      <c r="AU22" s="229">
        <f>SUM(IF(V22&gt;V19,1,0)+IF(Y22&gt;Y19,0.1,0)+IF(AC22&gt;AC19,0.01,0)+IF(AD22&gt;AD19,0.001,0)+IF(AH22&gt;AH19,0.0001,0))</f>
        <v>0</v>
      </c>
      <c r="AV22" s="260">
        <f>IF(AM22=AM19,SUM(IF((Spielplan!AA20+Spielplan!Y54-Spielplan!Y20-Spielplan!AA54)&gt;(Spielplan!Y20+Spielplan!AA54-Spielplan!AA20-Spielplan!Y54),0.00001,0))+IF(ISERROR(((Spielplan!AA20+Spielplan!Y54)/(Spielplan!Y20+Spielplan!AA54))&gt;((Spielplan!Y20+Spielplan!AA54)/(Spielplan!AA20+Spielplan!Y54))),0,IF(((Spielplan!AA20+Spielplan!Y54)/(Spielplan!Y20+Spielplan!AA54))&gt;((Spielplan!Y20+Spielplan!AA54)/(Spielplan!AA20+Spielplan!Y54)),0.000001,0))+IF((Spielplan!AF20+Spielplan!AD54-Spielplan!AD20-Spielplan!AF54)&gt;(Spielplan!AD20+Spielplan!AF54-Spielplan!AF20-Spielplan!AD54),0.0000001,0),0)</f>
        <v>0</v>
      </c>
      <c r="AW22" s="229">
        <f>SUM(IF(V22&gt;V20,1,0)+IF(Y22&gt;Y20,0.1,0)+IF(AC22&gt;AC20,0.01,0)+IF(AD22&gt;AD20,0.001,0)+IF(AH22&gt;AH20,0.0001,0))</f>
        <v>0</v>
      </c>
      <c r="AX22" s="260">
        <f>IF(AM22=AM20,SUM(IF((Spielplan!AA31+Spielplan!Y49-Spielplan!Y31-Spielplan!AA49)&gt;(Spielplan!Y31+Spielplan!AA49-Spielplan!AA31-Spielplan!Y49),0.00001,0))+IF(ISERROR(((Spielplan!AA31+Spielplan!Y49)/(Spielplan!Y31+Spielplan!AA49))&gt;((Spielplan!Y31+Spielplan!AA49)/(Spielplan!AA31+Spielplan!Y49))),0,IF(((Spielplan!AA31+Spielplan!Y49)/(Spielplan!Y31+Spielplan!AA49))&gt;((Spielplan!Y31+Spielplan!AA49)/(Spielplan!AA31+Spielplan!Y49)),0.000001,0))+IF((Spielplan!AF31+Spielplan!AD49-Spielplan!AD31-Spielplan!AF49)&gt;(Spielplan!AD31+Spielplan!AF49-Spielplan!AF31-Spielplan!AD49),0.0000001,0),0)</f>
        <v>0</v>
      </c>
      <c r="AY22" s="229">
        <f>SUM(IF(V22&gt;V21,1,0)+IF(Y22&gt;Y21,0.1,0)+IF(AC22&gt;AC21,0.01,0)+IF(AD22&gt;AD21,0.001,0)+IF(AH22&gt;AH21,0.0001,0))</f>
        <v>0</v>
      </c>
      <c r="AZ22" s="259">
        <f>IF(AM22=AM21,SUM(IF((Spielplan!AA12+Spielplan!Y35-Spielplan!Y12-Spielplan!AA35)&gt;(Spielplan!Y12+Spielplan!AA35-Spielplan!AA12-Spielplan!Y35),0.00001,0))+IF(ISERROR(((Spielplan!AA12+Spielplan!Y35)/(Spielplan!Y12+Spielplan!AA35))&gt;((Spielplan!Y12+Spielplan!AA35)/(Spielplan!AA12+Spielplan!Y35))),0,IF(((Spielplan!AA12+Spielplan!Y35)/(Spielplan!Y12+Spielplan!AA35))&gt;((Spielplan!Y12+Spielplan!AA35)/(Spielplan!AA12+Spielplan!Y35)),0.000001,0))+IF((Spielplan!AF12+Spielplan!AD35-Spielplan!AD12-Spielplan!AF35)&gt;(Spielplan!AD12+Spielplan!AF35-Spielplan!AF12-Spielplan!AD35),0.0000001,0),0)</f>
        <v>0</v>
      </c>
      <c r="BA22" s="302" t="s">
        <v>106</v>
      </c>
      <c r="BB22" s="303"/>
      <c r="BC22" s="228"/>
      <c r="BD22" s="228">
        <f t="shared" si="2"/>
        <v>6.0000000000000008E-8</v>
      </c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10"/>
    </row>
    <row r="23" spans="1:79" x14ac:dyDescent="0.2">
      <c r="K23" s="105"/>
      <c r="O23" s="104"/>
      <c r="P23" s="20"/>
      <c r="Y23" s="1"/>
      <c r="Z23" s="1"/>
      <c r="AA23" s="1"/>
      <c r="AB23" s="1"/>
      <c r="AC23" s="1"/>
      <c r="AD23" s="1"/>
    </row>
    <row r="24" spans="1:79" x14ac:dyDescent="0.2">
      <c r="Y24" s="1"/>
      <c r="Z24" s="1"/>
      <c r="AA24" s="1"/>
      <c r="AB24" s="1"/>
      <c r="AC24" s="1"/>
      <c r="AD24" s="1"/>
    </row>
    <row r="25" spans="1:79" x14ac:dyDescent="0.2">
      <c r="A25" s="2" t="s">
        <v>176</v>
      </c>
    </row>
    <row r="26" spans="1:79" ht="18" x14ac:dyDescent="0.25">
      <c r="A26" s="2" t="s">
        <v>175</v>
      </c>
      <c r="S26" s="306" t="s">
        <v>19</v>
      </c>
      <c r="T26" s="307"/>
    </row>
    <row r="27" spans="1:79" ht="15.75" x14ac:dyDescent="0.25">
      <c r="R27" s="38"/>
      <c r="S27" s="38"/>
      <c r="T27" s="39" t="s">
        <v>21</v>
      </c>
      <c r="U27" s="308" t="s">
        <v>20</v>
      </c>
      <c r="V27" s="308"/>
      <c r="W27" s="38"/>
      <c r="X27" s="308" t="s">
        <v>22</v>
      </c>
      <c r="Y27" s="309"/>
    </row>
    <row r="28" spans="1:79" ht="15.75" x14ac:dyDescent="0.25">
      <c r="R28" s="38" t="s">
        <v>109</v>
      </c>
      <c r="S28" s="38"/>
      <c r="T28" s="103" t="s">
        <v>190</v>
      </c>
      <c r="U28" s="301" t="s">
        <v>189</v>
      </c>
      <c r="V28" s="284"/>
      <c r="W28" s="255"/>
      <c r="X28" s="304">
        <v>0.41666666666666669</v>
      </c>
      <c r="Y28" s="304"/>
    </row>
    <row r="29" spans="1:79" ht="15.75" x14ac:dyDescent="0.25">
      <c r="R29" s="38"/>
      <c r="S29" s="38"/>
      <c r="T29" s="281" t="s">
        <v>191</v>
      </c>
      <c r="U29" s="282" t="s">
        <v>167</v>
      </c>
      <c r="V29" s="283"/>
      <c r="W29" s="256"/>
      <c r="X29" s="282" t="s">
        <v>170</v>
      </c>
      <c r="Y29" s="283"/>
    </row>
    <row r="30" spans="1:79" ht="15.75" x14ac:dyDescent="0.25">
      <c r="R30" s="38" t="s">
        <v>124</v>
      </c>
      <c r="S30" s="38"/>
      <c r="T30" s="103" t="s">
        <v>192</v>
      </c>
      <c r="U30" s="301" t="s">
        <v>189</v>
      </c>
      <c r="V30" s="284"/>
      <c r="W30" s="255"/>
      <c r="X30" s="304">
        <v>0.41666666666666669</v>
      </c>
      <c r="Y30" s="304"/>
    </row>
    <row r="31" spans="1:79" ht="15.75" x14ac:dyDescent="0.25">
      <c r="R31" s="38"/>
      <c r="S31" s="38"/>
      <c r="T31" s="281" t="s">
        <v>191</v>
      </c>
      <c r="U31" s="282" t="s">
        <v>168</v>
      </c>
      <c r="V31" s="283"/>
      <c r="W31" s="256"/>
      <c r="X31" s="282" t="s">
        <v>171</v>
      </c>
      <c r="Y31" s="283"/>
    </row>
    <row r="32" spans="1:79" ht="15.75" x14ac:dyDescent="0.25">
      <c r="R32" s="38" t="s">
        <v>110</v>
      </c>
      <c r="S32" s="38"/>
      <c r="T32" s="103" t="s">
        <v>193</v>
      </c>
      <c r="U32" s="301" t="s">
        <v>189</v>
      </c>
      <c r="V32" s="284"/>
      <c r="W32" s="255"/>
      <c r="X32" s="304">
        <v>0.41666666666666669</v>
      </c>
      <c r="Y32" s="304"/>
      <c r="CA32" s="109"/>
    </row>
    <row r="33" spans="18:79" ht="15.75" x14ac:dyDescent="0.25">
      <c r="R33" s="38"/>
      <c r="S33" s="38"/>
      <c r="T33" s="281" t="s">
        <v>194</v>
      </c>
      <c r="U33" s="282" t="s">
        <v>169</v>
      </c>
      <c r="V33" s="283"/>
      <c r="W33" s="256"/>
      <c r="X33" s="282" t="s">
        <v>172</v>
      </c>
      <c r="Y33" s="283"/>
      <c r="CA33" s="109"/>
    </row>
  </sheetData>
  <sheetProtection password="CA83" sheet="1" objects="1" scenarios="1" selectLockedCells="1"/>
  <mergeCells count="48">
    <mergeCell ref="BA22:BB22"/>
    <mergeCell ref="AO16:AP16"/>
    <mergeCell ref="AQ17:AR17"/>
    <mergeCell ref="AS18:AT18"/>
    <mergeCell ref="AU19:AV19"/>
    <mergeCell ref="BA14:BB14"/>
    <mergeCell ref="R14:R15"/>
    <mergeCell ref="S26:T26"/>
    <mergeCell ref="X27:Y27"/>
    <mergeCell ref="U27:V27"/>
    <mergeCell ref="AS14:AT14"/>
    <mergeCell ref="AU14:AV14"/>
    <mergeCell ref="AO14:AP14"/>
    <mergeCell ref="AQ14:AR14"/>
    <mergeCell ref="U30:V30"/>
    <mergeCell ref="U32:V32"/>
    <mergeCell ref="X28:Y28"/>
    <mergeCell ref="X30:Y30"/>
    <mergeCell ref="X32:Y32"/>
    <mergeCell ref="U29:V29"/>
    <mergeCell ref="U4:Z4"/>
    <mergeCell ref="U8:Z8"/>
    <mergeCell ref="AW14:AX14"/>
    <mergeCell ref="AY14:AZ14"/>
    <mergeCell ref="AL14:AN14"/>
    <mergeCell ref="U28:V28"/>
    <mergeCell ref="AW20:AX20"/>
    <mergeCell ref="AY21:AZ21"/>
    <mergeCell ref="H14:J14"/>
    <mergeCell ref="K9:P9"/>
    <mergeCell ref="U31:V31"/>
    <mergeCell ref="S1:AJ1"/>
    <mergeCell ref="AI2:AJ2"/>
    <mergeCell ref="V14:X14"/>
    <mergeCell ref="AE14:AG14"/>
    <mergeCell ref="Z14:AB14"/>
    <mergeCell ref="U6:Z6"/>
    <mergeCell ref="U5:Z5"/>
    <mergeCell ref="U33:V33"/>
    <mergeCell ref="X29:Y29"/>
    <mergeCell ref="X31:Y31"/>
    <mergeCell ref="X33:Y33"/>
    <mergeCell ref="U3:Z3"/>
    <mergeCell ref="A1:Q1"/>
    <mergeCell ref="L14:N14"/>
    <mergeCell ref="D14:F14"/>
    <mergeCell ref="A2:Q3"/>
    <mergeCell ref="A4:Q5"/>
  </mergeCells>
  <phoneticPr fontId="0" type="noConversion"/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F68"/>
  <sheetViews>
    <sheetView topLeftCell="C1" zoomScale="75" workbookViewId="0">
      <selection activeCell="F2" sqref="F2:V2"/>
    </sheetView>
  </sheetViews>
  <sheetFormatPr baseColWidth="10" defaultRowHeight="15" x14ac:dyDescent="0.2"/>
  <cols>
    <col min="1" max="1" width="0" style="4" hidden="1" customWidth="1"/>
    <col min="2" max="2" width="0" style="235" hidden="1" customWidth="1"/>
    <col min="3" max="3" width="9.28515625" style="5" customWidth="1"/>
    <col min="4" max="4" width="9.140625" style="6" bestFit="1" customWidth="1"/>
    <col min="5" max="5" width="6" style="6" bestFit="1" customWidth="1"/>
    <col min="6" max="6" width="7.7109375" style="6" bestFit="1" customWidth="1"/>
    <col min="7" max="7" width="21.42578125" style="9" bestFit="1" customWidth="1"/>
    <col min="8" max="8" width="3.28515625" style="9" bestFit="1" customWidth="1"/>
    <col min="9" max="10" width="21.42578125" style="9" bestFit="1" customWidth="1"/>
    <col min="11" max="11" width="4.7109375" style="5" customWidth="1"/>
    <col min="12" max="12" width="1.140625" style="5" customWidth="1"/>
    <col min="13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19" width="4.7109375" style="5" customWidth="1"/>
    <col min="20" max="20" width="1.28515625" style="4" customWidth="1"/>
    <col min="21" max="21" width="4.7109375" style="5" customWidth="1"/>
    <col min="22" max="22" width="1.140625" style="5" customWidth="1"/>
    <col min="23" max="23" width="4.7109375" style="5" customWidth="1"/>
    <col min="24" max="24" width="0.7109375" style="42" customWidth="1"/>
    <col min="25" max="25" width="4.7109375" style="42" customWidth="1"/>
    <col min="26" max="26" width="1.140625" style="42" customWidth="1"/>
    <col min="27" max="27" width="4.7109375" style="42" customWidth="1"/>
    <col min="28" max="28" width="1.28515625" style="42" customWidth="1"/>
    <col min="29" max="29" width="1.5703125" style="42" customWidth="1"/>
    <col min="30" max="30" width="5.5703125" style="42" customWidth="1"/>
    <col min="31" max="31" width="1.140625" style="42" customWidth="1"/>
    <col min="32" max="32" width="5.5703125" style="42" customWidth="1"/>
    <col min="33" max="33" width="19.42578125" style="4" bestFit="1" customWidth="1"/>
    <col min="34" max="34" width="10.5703125" style="4" bestFit="1" customWidth="1"/>
    <col min="35" max="35" width="3.140625" style="4" customWidth="1"/>
    <col min="36" max="36" width="11.140625" style="4" bestFit="1" customWidth="1"/>
    <col min="37" max="37" width="7.7109375" style="4" bestFit="1" customWidth="1"/>
    <col min="38" max="38" width="5.140625" style="4" customWidth="1"/>
    <col min="39" max="16384" width="11.42578125" style="4"/>
  </cols>
  <sheetData>
    <row r="1" spans="1:32" ht="39" customHeight="1" x14ac:dyDescent="0.35">
      <c r="F1" s="310" t="str">
        <f>Platzierung!U4</f>
        <v>Beschreibung Spielklasse</v>
      </c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1:32" ht="27" customHeight="1" x14ac:dyDescent="0.35">
      <c r="F2" s="310" t="str">
        <f>Platzierung!U6</f>
        <v>Saisonbezeichnung</v>
      </c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</row>
    <row r="3" spans="1:32" ht="25.9" customHeight="1" x14ac:dyDescent="0.35">
      <c r="F3" s="314" t="s">
        <v>115</v>
      </c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42"/>
      <c r="AC3" s="113"/>
      <c r="AD3" s="113"/>
      <c r="AE3" s="113"/>
    </row>
    <row r="4" spans="1:32" s="19" customFormat="1" ht="23.25" x14ac:dyDescent="0.35">
      <c r="B4" s="236"/>
      <c r="C4" s="15"/>
      <c r="D4" s="16"/>
      <c r="E4" s="16"/>
      <c r="F4" s="254" t="s">
        <v>173</v>
      </c>
      <c r="H4" s="17"/>
      <c r="I4" s="18" t="str">
        <f>Platzierung!U28</f>
        <v>Datum eintragen</v>
      </c>
      <c r="J4" s="17" t="str">
        <f>Platzierung!T28</f>
        <v>Spielort 1 eintragen</v>
      </c>
      <c r="K4" s="15"/>
      <c r="L4" s="15"/>
      <c r="M4" s="15"/>
      <c r="N4" s="15"/>
      <c r="O4" s="15"/>
      <c r="P4" s="15"/>
      <c r="Q4" s="252" t="str">
        <f>Platzierung!T29</f>
        <v>Straße eintragen</v>
      </c>
      <c r="R4" s="15"/>
      <c r="S4" s="15"/>
      <c r="T4" s="43"/>
      <c r="U4" s="43"/>
      <c r="V4" s="43"/>
      <c r="W4" s="43"/>
      <c r="X4" s="43"/>
      <c r="Y4" s="43"/>
      <c r="Z4" s="43"/>
      <c r="AA4" s="43"/>
      <c r="AB4" s="43"/>
      <c r="AC4" s="114"/>
      <c r="AD4" s="43"/>
      <c r="AE4" s="43"/>
      <c r="AF4" s="43"/>
    </row>
    <row r="5" spans="1:32" s="19" customFormat="1" ht="20.25" x14ac:dyDescent="0.3">
      <c r="B5" s="236"/>
      <c r="C5" s="15"/>
      <c r="D5" s="16"/>
      <c r="E5" s="16"/>
      <c r="F5" s="17"/>
      <c r="H5" s="17"/>
      <c r="I5" s="18"/>
      <c r="J5" s="253" t="str">
        <f>Platzierung!U29</f>
        <v>Ansprechpartner 1</v>
      </c>
      <c r="K5" s="15"/>
      <c r="L5" s="15"/>
      <c r="M5" s="15"/>
      <c r="N5" s="15"/>
      <c r="O5" s="15"/>
      <c r="P5" s="15"/>
      <c r="Q5" s="253" t="str">
        <f>Platzierung!X29</f>
        <v>Telefonnummer 1</v>
      </c>
      <c r="R5" s="15"/>
      <c r="S5" s="15"/>
      <c r="T5" s="43"/>
      <c r="U5" s="43"/>
      <c r="V5" s="43"/>
      <c r="W5" s="43"/>
      <c r="X5" s="43"/>
      <c r="Y5" s="43"/>
      <c r="Z5" s="43"/>
      <c r="AA5" s="43"/>
      <c r="AB5" s="43"/>
      <c r="AC5" s="114"/>
      <c r="AD5" s="43"/>
      <c r="AE5" s="43"/>
      <c r="AF5" s="43"/>
    </row>
    <row r="6" spans="1:32" s="36" customFormat="1" ht="15.75" x14ac:dyDescent="0.25">
      <c r="A6" s="32" t="s">
        <v>14</v>
      </c>
      <c r="B6" s="237" t="s">
        <v>20</v>
      </c>
      <c r="C6" s="31" t="s">
        <v>9</v>
      </c>
      <c r="D6" s="245" t="s">
        <v>5</v>
      </c>
      <c r="E6" s="32" t="s">
        <v>4</v>
      </c>
      <c r="F6" s="32" t="s">
        <v>14</v>
      </c>
      <c r="G6" s="33" t="s">
        <v>8</v>
      </c>
      <c r="H6" s="34"/>
      <c r="I6" s="33" t="s">
        <v>7</v>
      </c>
      <c r="J6" s="35" t="s">
        <v>6</v>
      </c>
      <c r="K6" s="312" t="s">
        <v>65</v>
      </c>
      <c r="L6" s="312"/>
      <c r="M6" s="312"/>
      <c r="N6" s="312" t="s">
        <v>66</v>
      </c>
      <c r="O6" s="312"/>
      <c r="P6" s="312"/>
      <c r="Q6" s="312" t="s">
        <v>67</v>
      </c>
      <c r="R6" s="312"/>
      <c r="S6" s="312"/>
      <c r="T6" s="44"/>
      <c r="U6" s="313" t="s">
        <v>2</v>
      </c>
      <c r="V6" s="313"/>
      <c r="W6" s="313"/>
      <c r="X6" s="44"/>
      <c r="Y6" s="313" t="s">
        <v>68</v>
      </c>
      <c r="Z6" s="313"/>
      <c r="AA6" s="313"/>
      <c r="AB6" s="44"/>
      <c r="AC6" s="269"/>
      <c r="AD6" s="313" t="s">
        <v>1</v>
      </c>
      <c r="AE6" s="313"/>
      <c r="AF6" s="313"/>
    </row>
    <row r="7" spans="1:32" s="265" customFormat="1" ht="15.75" x14ac:dyDescent="0.25">
      <c r="A7" s="7">
        <v>1</v>
      </c>
      <c r="B7" s="238" t="str">
        <f>I4</f>
        <v>Datum eintragen</v>
      </c>
      <c r="C7" s="264">
        <f>Platzierung!X28</f>
        <v>0.41666666666666669</v>
      </c>
      <c r="D7" s="7">
        <v>1</v>
      </c>
      <c r="E7" s="244">
        <v>1</v>
      </c>
      <c r="F7" s="7">
        <v>1</v>
      </c>
      <c r="G7" s="25" t="str">
        <f>Platzierung!T16</f>
        <v>Mannschaft 1</v>
      </c>
      <c r="H7" s="26" t="s">
        <v>17</v>
      </c>
      <c r="I7" s="25" t="str">
        <f>Platzierung!T17</f>
        <v>Mannschaft 2</v>
      </c>
      <c r="J7" s="25" t="str">
        <f>Platzierung!T18</f>
        <v>Mannschaft 3</v>
      </c>
      <c r="K7" s="27"/>
      <c r="L7" s="28" t="s">
        <v>0</v>
      </c>
      <c r="M7" s="27"/>
      <c r="N7" s="27"/>
      <c r="O7" s="28" t="s">
        <v>0</v>
      </c>
      <c r="P7" s="27"/>
      <c r="Q7" s="27"/>
      <c r="R7" s="28" t="s">
        <v>0</v>
      </c>
      <c r="S7" s="27"/>
      <c r="T7" s="267"/>
      <c r="U7" s="267">
        <f t="shared" ref="U7:U17" si="0">IF(Y7&gt;0,IF(Y7&gt;AA7,"2",IF(Y7&lt;AA7,"0",1)),0)</f>
        <v>0</v>
      </c>
      <c r="V7" s="273" t="s">
        <v>0</v>
      </c>
      <c r="W7" s="274">
        <f t="shared" ref="W7:W17" si="1">IF(AA7&gt;0,IF(AA7&gt;Y7,"2",IF(AA7&lt;Y7,"0",1)),0)</f>
        <v>0</v>
      </c>
      <c r="X7" s="275"/>
      <c r="Y7" s="267">
        <f t="shared" ref="Y7:Y17" si="2">IF(K7&gt;M7,1,0)+IF(N7&gt;P7,1,0)+IF(Q7&gt;S7,1,0)</f>
        <v>0</v>
      </c>
      <c r="Z7" s="273" t="s">
        <v>0</v>
      </c>
      <c r="AA7" s="274">
        <f t="shared" ref="AA7:AA17" si="3">IF(K7&lt;M7,1,0)+IF(N7&lt;P7,1,0)+IF(Q7&lt;S7,1,0)</f>
        <v>0</v>
      </c>
      <c r="AB7" s="275"/>
      <c r="AC7" s="276"/>
      <c r="AD7" s="267">
        <f t="shared" ref="AD7:AD17" si="4">K7+N7+Q7</f>
        <v>0</v>
      </c>
      <c r="AE7" s="273" t="s">
        <v>0</v>
      </c>
      <c r="AF7" s="274">
        <f t="shared" ref="AF7:AF17" si="5">M7+P7+S7</f>
        <v>0</v>
      </c>
    </row>
    <row r="8" spans="1:32" ht="15.75" x14ac:dyDescent="0.25">
      <c r="A8" s="3">
        <v>2</v>
      </c>
      <c r="B8" s="239" t="str">
        <f>I4</f>
        <v>Datum eintragen</v>
      </c>
      <c r="C8" s="262">
        <f>SUM(C7+Platzierung!$U$11)</f>
        <v>0.44444444444444448</v>
      </c>
      <c r="D8" s="3">
        <v>2</v>
      </c>
      <c r="E8" s="261">
        <v>1</v>
      </c>
      <c r="F8" s="3">
        <v>2</v>
      </c>
      <c r="G8" s="8" t="str">
        <f>Platzierung!T18</f>
        <v>Mannschaft 3</v>
      </c>
      <c r="H8" s="35" t="s">
        <v>17</v>
      </c>
      <c r="I8" s="8" t="str">
        <f>Platzierung!T19</f>
        <v>Mannschaft 4</v>
      </c>
      <c r="J8" s="8" t="str">
        <f>Platzierung!T17</f>
        <v>Mannschaft 2</v>
      </c>
      <c r="K8" s="48"/>
      <c r="L8" s="49" t="s">
        <v>0</v>
      </c>
      <c r="M8" s="48"/>
      <c r="N8" s="48"/>
      <c r="O8" s="49" t="s">
        <v>0</v>
      </c>
      <c r="P8" s="48"/>
      <c r="Q8" s="48"/>
      <c r="R8" s="49" t="s">
        <v>0</v>
      </c>
      <c r="S8" s="48"/>
      <c r="T8" s="268"/>
      <c r="U8" s="268">
        <f t="shared" si="0"/>
        <v>0</v>
      </c>
      <c r="V8" s="277" t="s">
        <v>0</v>
      </c>
      <c r="W8" s="278">
        <f t="shared" si="1"/>
        <v>0</v>
      </c>
      <c r="X8" s="279"/>
      <c r="Y8" s="268">
        <f t="shared" si="2"/>
        <v>0</v>
      </c>
      <c r="Z8" s="277" t="s">
        <v>0</v>
      </c>
      <c r="AA8" s="278">
        <f t="shared" si="3"/>
        <v>0</v>
      </c>
      <c r="AB8" s="279"/>
      <c r="AC8" s="280"/>
      <c r="AD8" s="268">
        <f t="shared" si="4"/>
        <v>0</v>
      </c>
      <c r="AE8" s="277" t="s">
        <v>0</v>
      </c>
      <c r="AF8" s="278">
        <f t="shared" si="5"/>
        <v>0</v>
      </c>
    </row>
    <row r="9" spans="1:32" s="265" customFormat="1" ht="15.75" x14ac:dyDescent="0.25">
      <c r="A9" s="7">
        <v>3</v>
      </c>
      <c r="B9" s="238" t="str">
        <f>I4</f>
        <v>Datum eintragen</v>
      </c>
      <c r="C9" s="266">
        <f>SUM(C8+Platzierung!$U$11)</f>
        <v>0.47222222222222227</v>
      </c>
      <c r="D9" s="7">
        <v>3</v>
      </c>
      <c r="E9" s="7">
        <v>1</v>
      </c>
      <c r="F9" s="7">
        <v>3</v>
      </c>
      <c r="G9" s="25" t="str">
        <f>Platzierung!T16</f>
        <v>Mannschaft 1</v>
      </c>
      <c r="H9" s="26" t="s">
        <v>17</v>
      </c>
      <c r="I9" s="25" t="str">
        <f>Platzierung!T20</f>
        <v>Mannschaft 5</v>
      </c>
      <c r="J9" s="25" t="str">
        <f>Platzierung!T19</f>
        <v>Mannschaft 4</v>
      </c>
      <c r="K9" s="27"/>
      <c r="L9" s="28" t="s">
        <v>0</v>
      </c>
      <c r="M9" s="27"/>
      <c r="N9" s="27"/>
      <c r="O9" s="28" t="s">
        <v>0</v>
      </c>
      <c r="P9" s="27"/>
      <c r="Q9" s="27"/>
      <c r="R9" s="28" t="s">
        <v>0</v>
      </c>
      <c r="S9" s="27"/>
      <c r="T9" s="267"/>
      <c r="U9" s="267">
        <f t="shared" si="0"/>
        <v>0</v>
      </c>
      <c r="V9" s="273" t="s">
        <v>0</v>
      </c>
      <c r="W9" s="274">
        <f t="shared" si="1"/>
        <v>0</v>
      </c>
      <c r="X9" s="275"/>
      <c r="Y9" s="267">
        <f t="shared" si="2"/>
        <v>0</v>
      </c>
      <c r="Z9" s="273" t="s">
        <v>0</v>
      </c>
      <c r="AA9" s="274">
        <f t="shared" si="3"/>
        <v>0</v>
      </c>
      <c r="AB9" s="275"/>
      <c r="AC9" s="276"/>
      <c r="AD9" s="267">
        <f t="shared" si="4"/>
        <v>0</v>
      </c>
      <c r="AE9" s="273" t="s">
        <v>0</v>
      </c>
      <c r="AF9" s="274">
        <f t="shared" si="5"/>
        <v>0</v>
      </c>
    </row>
    <row r="10" spans="1:32" ht="15.75" x14ac:dyDescent="0.25">
      <c r="A10" s="3">
        <v>4</v>
      </c>
      <c r="B10" s="239" t="str">
        <f>I4</f>
        <v>Datum eintragen</v>
      </c>
      <c r="C10" s="262">
        <f>SUM(C9+Platzierung!$U$11)</f>
        <v>0.5</v>
      </c>
      <c r="D10" s="3">
        <v>4</v>
      </c>
      <c r="E10" s="3">
        <v>1</v>
      </c>
      <c r="F10" s="3">
        <v>4</v>
      </c>
      <c r="G10" s="8" t="str">
        <f>Platzierung!T17</f>
        <v>Mannschaft 2</v>
      </c>
      <c r="H10" s="35" t="s">
        <v>17</v>
      </c>
      <c r="I10" s="8" t="str">
        <f>Platzierung!T18</f>
        <v>Mannschaft 3</v>
      </c>
      <c r="J10" s="8" t="str">
        <f>Platzierung!T16</f>
        <v>Mannschaft 1</v>
      </c>
      <c r="K10" s="48"/>
      <c r="L10" s="49" t="s">
        <v>0</v>
      </c>
      <c r="M10" s="48"/>
      <c r="N10" s="48"/>
      <c r="O10" s="49" t="s">
        <v>0</v>
      </c>
      <c r="P10" s="48"/>
      <c r="Q10" s="48"/>
      <c r="R10" s="49" t="s">
        <v>0</v>
      </c>
      <c r="S10" s="48"/>
      <c r="T10" s="268"/>
      <c r="U10" s="268">
        <f>IF(Y10&gt;0,IF(Y10&gt;AA10,"2",IF(Y10&lt;AA10,"0",1)),0)</f>
        <v>0</v>
      </c>
      <c r="V10" s="277" t="s">
        <v>0</v>
      </c>
      <c r="W10" s="278">
        <f>IF(AA10&gt;0,IF(AA10&gt;Y10,"2",IF(AA10&lt;Y10,"0",1)),0)</f>
        <v>0</v>
      </c>
      <c r="X10" s="279"/>
      <c r="Y10" s="268">
        <f>IF(K10&gt;M10,1,0)+IF(N10&gt;P10,1,0)+IF(Q10&gt;S10,1,0)</f>
        <v>0</v>
      </c>
      <c r="Z10" s="277" t="s">
        <v>0</v>
      </c>
      <c r="AA10" s="278">
        <f>IF(K10&lt;M10,1,0)+IF(N10&lt;P10,1,0)+IF(Q10&lt;S10,1,0)</f>
        <v>0</v>
      </c>
      <c r="AB10" s="279"/>
      <c r="AC10" s="280"/>
      <c r="AD10" s="268">
        <f>K10+N10+Q10</f>
        <v>0</v>
      </c>
      <c r="AE10" s="277" t="s">
        <v>0</v>
      </c>
      <c r="AF10" s="278">
        <f>M10+P10+S10</f>
        <v>0</v>
      </c>
    </row>
    <row r="11" spans="1:32" s="265" customFormat="1" ht="15.75" x14ac:dyDescent="0.25">
      <c r="A11" s="7">
        <v>5</v>
      </c>
      <c r="B11" s="238" t="str">
        <f>I4</f>
        <v>Datum eintragen</v>
      </c>
      <c r="C11" s="266">
        <f>SUM(C10+Platzierung!$U$11)</f>
        <v>0.52777777777777779</v>
      </c>
      <c r="D11" s="7">
        <v>5</v>
      </c>
      <c r="E11" s="7">
        <v>1</v>
      </c>
      <c r="F11" s="7">
        <v>5</v>
      </c>
      <c r="G11" s="25" t="str">
        <f>Platzierung!T19</f>
        <v>Mannschaft 4</v>
      </c>
      <c r="H11" s="26" t="s">
        <v>17</v>
      </c>
      <c r="I11" s="25" t="str">
        <f>Platzierung!T20</f>
        <v>Mannschaft 5</v>
      </c>
      <c r="J11" s="25" t="str">
        <f>Platzierung!T18</f>
        <v>Mannschaft 3</v>
      </c>
      <c r="K11" s="27"/>
      <c r="L11" s="28" t="s">
        <v>0</v>
      </c>
      <c r="M11" s="27"/>
      <c r="N11" s="27"/>
      <c r="O11" s="28" t="s">
        <v>0</v>
      </c>
      <c r="P11" s="27"/>
      <c r="Q11" s="27"/>
      <c r="R11" s="28" t="s">
        <v>0</v>
      </c>
      <c r="S11" s="27"/>
      <c r="T11" s="267"/>
      <c r="U11" s="267">
        <f t="shared" si="0"/>
        <v>0</v>
      </c>
      <c r="V11" s="273" t="s">
        <v>0</v>
      </c>
      <c r="W11" s="274">
        <f t="shared" si="1"/>
        <v>0</v>
      </c>
      <c r="X11" s="275"/>
      <c r="Y11" s="267">
        <f t="shared" si="2"/>
        <v>0</v>
      </c>
      <c r="Z11" s="273" t="s">
        <v>0</v>
      </c>
      <c r="AA11" s="274">
        <f t="shared" si="3"/>
        <v>0</v>
      </c>
      <c r="AB11" s="275"/>
      <c r="AC11" s="276"/>
      <c r="AD11" s="267">
        <f t="shared" si="4"/>
        <v>0</v>
      </c>
      <c r="AE11" s="273" t="s">
        <v>0</v>
      </c>
      <c r="AF11" s="274">
        <f t="shared" si="5"/>
        <v>0</v>
      </c>
    </row>
    <row r="12" spans="1:32" ht="15.75" x14ac:dyDescent="0.25">
      <c r="A12" s="3">
        <v>6</v>
      </c>
      <c r="B12" s="239" t="str">
        <f>I4</f>
        <v>Datum eintragen</v>
      </c>
      <c r="C12" s="262">
        <f>SUM(C11+Platzierung!$U$11)</f>
        <v>0.55555555555555558</v>
      </c>
      <c r="D12" s="3">
        <v>6</v>
      </c>
      <c r="E12" s="3">
        <v>1</v>
      </c>
      <c r="F12" s="3">
        <v>6</v>
      </c>
      <c r="G12" s="8" t="str">
        <f>Platzierung!T21</f>
        <v>Mannschaft 6</v>
      </c>
      <c r="H12" s="35" t="s">
        <v>17</v>
      </c>
      <c r="I12" s="8" t="str">
        <f>Platzierung!T22</f>
        <v>Mannschaft 7</v>
      </c>
      <c r="J12" s="8" t="str">
        <f>Platzierung!T20</f>
        <v>Mannschaft 5</v>
      </c>
      <c r="K12" s="48"/>
      <c r="L12" s="49" t="s">
        <v>0</v>
      </c>
      <c r="M12" s="48"/>
      <c r="N12" s="48"/>
      <c r="O12" s="49" t="s">
        <v>0</v>
      </c>
      <c r="P12" s="48"/>
      <c r="Q12" s="48"/>
      <c r="R12" s="49" t="s">
        <v>0</v>
      </c>
      <c r="S12" s="48"/>
      <c r="T12" s="268"/>
      <c r="U12" s="268">
        <f t="shared" si="0"/>
        <v>0</v>
      </c>
      <c r="V12" s="277" t="s">
        <v>0</v>
      </c>
      <c r="W12" s="278">
        <f t="shared" si="1"/>
        <v>0</v>
      </c>
      <c r="X12" s="279"/>
      <c r="Y12" s="268">
        <f t="shared" si="2"/>
        <v>0</v>
      </c>
      <c r="Z12" s="277" t="s">
        <v>0</v>
      </c>
      <c r="AA12" s="278">
        <f t="shared" si="3"/>
        <v>0</v>
      </c>
      <c r="AB12" s="279"/>
      <c r="AC12" s="280"/>
      <c r="AD12" s="268">
        <f t="shared" si="4"/>
        <v>0</v>
      </c>
      <c r="AE12" s="277" t="s">
        <v>0</v>
      </c>
      <c r="AF12" s="278">
        <f t="shared" si="5"/>
        <v>0</v>
      </c>
    </row>
    <row r="13" spans="1:32" s="265" customFormat="1" ht="15.75" x14ac:dyDescent="0.25">
      <c r="A13" s="7">
        <v>7</v>
      </c>
      <c r="B13" s="238" t="str">
        <f>I4</f>
        <v>Datum eintragen</v>
      </c>
      <c r="C13" s="266">
        <f>SUM(C12+Platzierung!$U$11)</f>
        <v>0.58333333333333337</v>
      </c>
      <c r="D13" s="7">
        <v>7</v>
      </c>
      <c r="E13" s="7">
        <v>1</v>
      </c>
      <c r="F13" s="7">
        <v>7</v>
      </c>
      <c r="G13" s="25" t="str">
        <f>Platzierung!T16</f>
        <v>Mannschaft 1</v>
      </c>
      <c r="H13" s="26" t="s">
        <v>17</v>
      </c>
      <c r="I13" s="25" t="str">
        <f>Platzierung!T18</f>
        <v>Mannschaft 3</v>
      </c>
      <c r="J13" s="25" t="str">
        <f>Platzierung!T21</f>
        <v>Mannschaft 6</v>
      </c>
      <c r="K13" s="27"/>
      <c r="L13" s="28" t="s">
        <v>0</v>
      </c>
      <c r="M13" s="27"/>
      <c r="N13" s="27"/>
      <c r="O13" s="28" t="s">
        <v>0</v>
      </c>
      <c r="P13" s="27"/>
      <c r="Q13" s="27"/>
      <c r="R13" s="28" t="s">
        <v>0</v>
      </c>
      <c r="S13" s="27"/>
      <c r="T13" s="267"/>
      <c r="U13" s="267">
        <f t="shared" si="0"/>
        <v>0</v>
      </c>
      <c r="V13" s="273" t="s">
        <v>0</v>
      </c>
      <c r="W13" s="274">
        <f t="shared" si="1"/>
        <v>0</v>
      </c>
      <c r="X13" s="275"/>
      <c r="Y13" s="267">
        <f t="shared" si="2"/>
        <v>0</v>
      </c>
      <c r="Z13" s="273" t="s">
        <v>0</v>
      </c>
      <c r="AA13" s="274">
        <f t="shared" si="3"/>
        <v>0</v>
      </c>
      <c r="AB13" s="275"/>
      <c r="AC13" s="276"/>
      <c r="AD13" s="267">
        <f t="shared" si="4"/>
        <v>0</v>
      </c>
      <c r="AE13" s="273" t="s">
        <v>0</v>
      </c>
      <c r="AF13" s="274">
        <f t="shared" si="5"/>
        <v>0</v>
      </c>
    </row>
    <row r="14" spans="1:32" ht="15.75" x14ac:dyDescent="0.25">
      <c r="A14" s="3">
        <v>8</v>
      </c>
      <c r="B14" s="239" t="str">
        <f>I4</f>
        <v>Datum eintragen</v>
      </c>
      <c r="C14" s="262">
        <f>SUM(C13+Platzierung!$U$11)</f>
        <v>0.61111111111111116</v>
      </c>
      <c r="D14" s="3">
        <v>8</v>
      </c>
      <c r="E14" s="3">
        <v>1</v>
      </c>
      <c r="F14" s="3">
        <v>8</v>
      </c>
      <c r="G14" s="8" t="str">
        <f>Platzierung!T17</f>
        <v>Mannschaft 2</v>
      </c>
      <c r="H14" s="35" t="s">
        <v>17</v>
      </c>
      <c r="I14" s="8" t="str">
        <f>Platzierung!T20</f>
        <v>Mannschaft 5</v>
      </c>
      <c r="J14" s="8" t="str">
        <f>Platzierung!T22</f>
        <v>Mannschaft 7</v>
      </c>
      <c r="K14" s="48"/>
      <c r="L14" s="49" t="s">
        <v>0</v>
      </c>
      <c r="M14" s="48"/>
      <c r="N14" s="48"/>
      <c r="O14" s="49" t="s">
        <v>0</v>
      </c>
      <c r="P14" s="48"/>
      <c r="Q14" s="48"/>
      <c r="R14" s="49" t="s">
        <v>0</v>
      </c>
      <c r="S14" s="48"/>
      <c r="T14" s="268"/>
      <c r="U14" s="268">
        <f t="shared" si="0"/>
        <v>0</v>
      </c>
      <c r="V14" s="277" t="s">
        <v>0</v>
      </c>
      <c r="W14" s="278">
        <f t="shared" si="1"/>
        <v>0</v>
      </c>
      <c r="X14" s="279"/>
      <c r="Y14" s="268">
        <f t="shared" si="2"/>
        <v>0</v>
      </c>
      <c r="Z14" s="277" t="s">
        <v>0</v>
      </c>
      <c r="AA14" s="278">
        <f t="shared" si="3"/>
        <v>0</v>
      </c>
      <c r="AB14" s="279"/>
      <c r="AC14" s="280"/>
      <c r="AD14" s="268">
        <f t="shared" si="4"/>
        <v>0</v>
      </c>
      <c r="AE14" s="277" t="s">
        <v>0</v>
      </c>
      <c r="AF14" s="278">
        <f t="shared" si="5"/>
        <v>0</v>
      </c>
    </row>
    <row r="15" spans="1:32" s="265" customFormat="1" ht="15.75" x14ac:dyDescent="0.25">
      <c r="A15" s="7">
        <v>9</v>
      </c>
      <c r="B15" s="238" t="str">
        <f>I4</f>
        <v>Datum eintragen</v>
      </c>
      <c r="C15" s="266">
        <f>SUM(C14+Platzierung!$U$11)</f>
        <v>0.63888888888888895</v>
      </c>
      <c r="D15" s="7">
        <v>9</v>
      </c>
      <c r="E15" s="7">
        <v>1</v>
      </c>
      <c r="F15" s="7">
        <v>9</v>
      </c>
      <c r="G15" s="25" t="str">
        <f>Platzierung!T19</f>
        <v>Mannschaft 4</v>
      </c>
      <c r="H15" s="26" t="s">
        <v>17</v>
      </c>
      <c r="I15" s="25" t="str">
        <f>Platzierung!T21</f>
        <v>Mannschaft 6</v>
      </c>
      <c r="J15" s="25" t="str">
        <f>Platzierung!T20</f>
        <v>Mannschaft 5</v>
      </c>
      <c r="K15" s="27"/>
      <c r="L15" s="28" t="s">
        <v>0</v>
      </c>
      <c r="M15" s="27"/>
      <c r="N15" s="27"/>
      <c r="O15" s="28" t="s">
        <v>0</v>
      </c>
      <c r="P15" s="27"/>
      <c r="Q15" s="27"/>
      <c r="R15" s="28" t="s">
        <v>0</v>
      </c>
      <c r="S15" s="27"/>
      <c r="T15" s="267"/>
      <c r="U15" s="267">
        <f t="shared" si="0"/>
        <v>0</v>
      </c>
      <c r="V15" s="273" t="s">
        <v>0</v>
      </c>
      <c r="W15" s="274">
        <f t="shared" si="1"/>
        <v>0</v>
      </c>
      <c r="X15" s="275"/>
      <c r="Y15" s="267">
        <f t="shared" si="2"/>
        <v>0</v>
      </c>
      <c r="Z15" s="273" t="s">
        <v>0</v>
      </c>
      <c r="AA15" s="274">
        <f t="shared" si="3"/>
        <v>0</v>
      </c>
      <c r="AB15" s="275"/>
      <c r="AC15" s="276"/>
      <c r="AD15" s="267">
        <f t="shared" si="4"/>
        <v>0</v>
      </c>
      <c r="AE15" s="273" t="s">
        <v>0</v>
      </c>
      <c r="AF15" s="274">
        <f t="shared" si="5"/>
        <v>0</v>
      </c>
    </row>
    <row r="16" spans="1:32" ht="15.75" x14ac:dyDescent="0.25">
      <c r="A16" s="3">
        <v>10</v>
      </c>
      <c r="B16" s="239" t="str">
        <f>I4</f>
        <v>Datum eintragen</v>
      </c>
      <c r="C16" s="262">
        <f>SUM(C15+Platzierung!$U$11)</f>
        <v>0.66666666666666674</v>
      </c>
      <c r="D16" s="3">
        <v>10</v>
      </c>
      <c r="E16" s="3">
        <v>1</v>
      </c>
      <c r="F16" s="3">
        <v>10</v>
      </c>
      <c r="G16" s="8" t="str">
        <f>Platzierung!T16</f>
        <v>Mannschaft 1</v>
      </c>
      <c r="H16" s="35" t="s">
        <v>17</v>
      </c>
      <c r="I16" s="8" t="str">
        <f>Platzierung!T22</f>
        <v>Mannschaft 7</v>
      </c>
      <c r="J16" s="8" t="str">
        <f>Platzierung!T19</f>
        <v>Mannschaft 4</v>
      </c>
      <c r="K16" s="48"/>
      <c r="L16" s="49" t="s">
        <v>0</v>
      </c>
      <c r="M16" s="48"/>
      <c r="N16" s="48"/>
      <c r="O16" s="49" t="s">
        <v>0</v>
      </c>
      <c r="P16" s="48"/>
      <c r="Q16" s="48"/>
      <c r="R16" s="49" t="s">
        <v>0</v>
      </c>
      <c r="S16" s="48"/>
      <c r="T16" s="268"/>
      <c r="U16" s="268">
        <f>IF(Y16&gt;0,IF(Y16&gt;AA16,"2",IF(Y16&lt;AA16,"0",1)),0)</f>
        <v>0</v>
      </c>
      <c r="V16" s="277" t="s">
        <v>0</v>
      </c>
      <c r="W16" s="278">
        <f>IF(AA16&gt;0,IF(AA16&gt;Y16,"2",IF(AA16&lt;Y16,"0",1)),0)</f>
        <v>0</v>
      </c>
      <c r="X16" s="279"/>
      <c r="Y16" s="268">
        <f>IF(K16&gt;M16,1,0)+IF(N16&gt;P16,1,0)+IF(Q16&gt;S16,1,0)</f>
        <v>0</v>
      </c>
      <c r="Z16" s="277" t="s">
        <v>0</v>
      </c>
      <c r="AA16" s="278">
        <f>IF(K16&lt;M16,1,0)+IF(N16&lt;P16,1,0)+IF(Q16&lt;S16,1,0)</f>
        <v>0</v>
      </c>
      <c r="AB16" s="279"/>
      <c r="AC16" s="280"/>
      <c r="AD16" s="268">
        <f>K16+N16+Q16</f>
        <v>0</v>
      </c>
      <c r="AE16" s="277" t="s">
        <v>0</v>
      </c>
      <c r="AF16" s="278">
        <f>M16+P16+S16</f>
        <v>0</v>
      </c>
    </row>
    <row r="17" spans="1:32" s="265" customFormat="1" ht="15.75" x14ac:dyDescent="0.25">
      <c r="A17" s="7">
        <v>11</v>
      </c>
      <c r="B17" s="238" t="str">
        <f>I4</f>
        <v>Datum eintragen</v>
      </c>
      <c r="C17" s="266">
        <f>SUM(C16+Platzierung!$U$11)</f>
        <v>0.69444444444444453</v>
      </c>
      <c r="D17" s="7">
        <v>11</v>
      </c>
      <c r="E17" s="7">
        <v>1</v>
      </c>
      <c r="F17" s="7">
        <v>11</v>
      </c>
      <c r="G17" s="25" t="str">
        <f>Platzierung!T18</f>
        <v>Mannschaft 3</v>
      </c>
      <c r="H17" s="26" t="s">
        <v>17</v>
      </c>
      <c r="I17" s="25" t="str">
        <f>Platzierung!T21</f>
        <v>Mannschaft 6</v>
      </c>
      <c r="J17" s="25" t="str">
        <f>Platzierung!T16</f>
        <v>Mannschaft 1</v>
      </c>
      <c r="K17" s="27"/>
      <c r="L17" s="28" t="s">
        <v>0</v>
      </c>
      <c r="M17" s="27"/>
      <c r="N17" s="27"/>
      <c r="O17" s="28" t="s">
        <v>0</v>
      </c>
      <c r="P17" s="27"/>
      <c r="Q17" s="27"/>
      <c r="R17" s="28" t="s">
        <v>0</v>
      </c>
      <c r="S17" s="27"/>
      <c r="T17" s="267"/>
      <c r="U17" s="267">
        <f t="shared" si="0"/>
        <v>0</v>
      </c>
      <c r="V17" s="273" t="s">
        <v>0</v>
      </c>
      <c r="W17" s="274">
        <f t="shared" si="1"/>
        <v>0</v>
      </c>
      <c r="X17" s="275"/>
      <c r="Y17" s="267">
        <f t="shared" si="2"/>
        <v>0</v>
      </c>
      <c r="Z17" s="273" t="s">
        <v>0</v>
      </c>
      <c r="AA17" s="274">
        <f t="shared" si="3"/>
        <v>0</v>
      </c>
      <c r="AB17" s="275"/>
      <c r="AC17" s="276"/>
      <c r="AD17" s="267">
        <f t="shared" si="4"/>
        <v>0</v>
      </c>
      <c r="AE17" s="273" t="s">
        <v>0</v>
      </c>
      <c r="AF17" s="274">
        <f t="shared" si="5"/>
        <v>0</v>
      </c>
    </row>
    <row r="18" spans="1:32" ht="15.75" x14ac:dyDescent="0.25">
      <c r="A18" s="3">
        <v>12</v>
      </c>
      <c r="B18" s="239" t="str">
        <f>I4</f>
        <v>Datum eintragen</v>
      </c>
      <c r="C18" s="262">
        <f>SUM(C17+Platzierung!$U$11)</f>
        <v>0.72222222222222232</v>
      </c>
      <c r="D18" s="3">
        <v>12</v>
      </c>
      <c r="E18" s="3">
        <v>1</v>
      </c>
      <c r="F18" s="3">
        <v>12</v>
      </c>
      <c r="G18" s="8" t="str">
        <f>Platzierung!T17</f>
        <v>Mannschaft 2</v>
      </c>
      <c r="H18" s="35" t="s">
        <v>17</v>
      </c>
      <c r="I18" s="8" t="str">
        <f>Platzierung!T22</f>
        <v>Mannschaft 7</v>
      </c>
      <c r="J18" s="8" t="str">
        <f>Platzierung!T18</f>
        <v>Mannschaft 3</v>
      </c>
      <c r="K18" s="48"/>
      <c r="L18" s="49" t="s">
        <v>0</v>
      </c>
      <c r="M18" s="48"/>
      <c r="N18" s="48"/>
      <c r="O18" s="49" t="s">
        <v>0</v>
      </c>
      <c r="P18" s="48"/>
      <c r="Q18" s="48"/>
      <c r="R18" s="49" t="s">
        <v>0</v>
      </c>
      <c r="S18" s="48"/>
      <c r="T18" s="268"/>
      <c r="U18" s="268">
        <f>IF(Y18&gt;0,IF(Y18&gt;AA18,"2",IF(Y18&lt;AA18,"0",1)),0)</f>
        <v>0</v>
      </c>
      <c r="V18" s="277" t="s">
        <v>0</v>
      </c>
      <c r="W18" s="278">
        <f>IF(AA18&gt;0,IF(AA18&gt;Y18,"2",IF(AA18&lt;Y18,"0",1)),0)</f>
        <v>0</v>
      </c>
      <c r="X18" s="279"/>
      <c r="Y18" s="268">
        <f>IF(K18&gt;M18,1,0)+IF(N18&gt;P18,1,0)+IF(Q18&gt;S18,1,0)</f>
        <v>0</v>
      </c>
      <c r="Z18" s="277" t="s">
        <v>0</v>
      </c>
      <c r="AA18" s="278">
        <f>IF(K18&lt;M18,1,0)+IF(N18&lt;P18,1,0)+IF(Q18&lt;S18,1,0)</f>
        <v>0</v>
      </c>
      <c r="AB18" s="279"/>
      <c r="AC18" s="280"/>
      <c r="AD18" s="268">
        <f>K18+N18+Q18</f>
        <v>0</v>
      </c>
      <c r="AE18" s="277" t="s">
        <v>0</v>
      </c>
      <c r="AF18" s="278">
        <f>M18+P18+S18</f>
        <v>0</v>
      </c>
    </row>
    <row r="19" spans="1:32" s="265" customFormat="1" ht="15.75" x14ac:dyDescent="0.25">
      <c r="A19" s="7">
        <v>13</v>
      </c>
      <c r="B19" s="238" t="str">
        <f>I4</f>
        <v>Datum eintragen</v>
      </c>
      <c r="C19" s="266">
        <f>SUM(C18+Platzierung!$U$11)</f>
        <v>0.75000000000000011</v>
      </c>
      <c r="D19" s="7">
        <v>13</v>
      </c>
      <c r="E19" s="7">
        <v>1</v>
      </c>
      <c r="F19" s="7">
        <v>13</v>
      </c>
      <c r="G19" s="25" t="str">
        <f>Platzierung!T20</f>
        <v>Mannschaft 5</v>
      </c>
      <c r="H19" s="26" t="s">
        <v>17</v>
      </c>
      <c r="I19" s="25" t="str">
        <f>Platzierung!T21</f>
        <v>Mannschaft 6</v>
      </c>
      <c r="J19" s="25" t="str">
        <f>Platzierung!T22</f>
        <v>Mannschaft 7</v>
      </c>
      <c r="K19" s="27"/>
      <c r="L19" s="28" t="s">
        <v>0</v>
      </c>
      <c r="M19" s="27"/>
      <c r="N19" s="27"/>
      <c r="O19" s="28" t="s">
        <v>0</v>
      </c>
      <c r="P19" s="27"/>
      <c r="Q19" s="27"/>
      <c r="R19" s="28" t="s">
        <v>0</v>
      </c>
      <c r="S19" s="27"/>
      <c r="T19" s="267"/>
      <c r="U19" s="267">
        <f>IF(Y19&gt;0,IF(Y19&gt;AA19,"2",IF(Y19&lt;AA19,"0",1)),0)</f>
        <v>0</v>
      </c>
      <c r="V19" s="273" t="s">
        <v>0</v>
      </c>
      <c r="W19" s="274">
        <f>IF(AA19&gt;0,IF(AA19&gt;Y19,"2",IF(AA19&lt;Y19,"0",1)),0)</f>
        <v>0</v>
      </c>
      <c r="X19" s="275"/>
      <c r="Y19" s="267">
        <f>IF(K19&gt;M19,1,0)+IF(N19&gt;P19,1,0)+IF(Q19&gt;S19,1,0)</f>
        <v>0</v>
      </c>
      <c r="Z19" s="273" t="s">
        <v>0</v>
      </c>
      <c r="AA19" s="274">
        <f>IF(K19&lt;M19,1,0)+IF(N19&lt;P19,1,0)+IF(Q19&lt;S19,1,0)</f>
        <v>0</v>
      </c>
      <c r="AB19" s="275"/>
      <c r="AC19" s="276"/>
      <c r="AD19" s="267">
        <f>K19+N19+Q19</f>
        <v>0</v>
      </c>
      <c r="AE19" s="273" t="s">
        <v>0</v>
      </c>
      <c r="AF19" s="274">
        <f>M19+P19+S19</f>
        <v>0</v>
      </c>
    </row>
    <row r="20" spans="1:32" ht="15.75" x14ac:dyDescent="0.25">
      <c r="A20" s="3">
        <v>14</v>
      </c>
      <c r="B20" s="239" t="str">
        <f>I4</f>
        <v>Datum eintragen</v>
      </c>
      <c r="C20" s="262">
        <f>SUM(C19+Platzierung!$U$11)</f>
        <v>0.7777777777777779</v>
      </c>
      <c r="D20" s="3">
        <v>14</v>
      </c>
      <c r="E20" s="3">
        <v>1</v>
      </c>
      <c r="F20" s="3">
        <v>14</v>
      </c>
      <c r="G20" s="8" t="str">
        <f>Platzierung!T19</f>
        <v>Mannschaft 4</v>
      </c>
      <c r="H20" s="35" t="s">
        <v>17</v>
      </c>
      <c r="I20" s="8" t="str">
        <f>Platzierung!T22</f>
        <v>Mannschaft 7</v>
      </c>
      <c r="J20" s="8" t="str">
        <f>Platzierung!T21</f>
        <v>Mannschaft 6</v>
      </c>
      <c r="K20" s="48"/>
      <c r="L20" s="49" t="s">
        <v>0</v>
      </c>
      <c r="M20" s="48"/>
      <c r="N20" s="48"/>
      <c r="O20" s="49" t="s">
        <v>0</v>
      </c>
      <c r="P20" s="48"/>
      <c r="Q20" s="48"/>
      <c r="R20" s="49" t="s">
        <v>0</v>
      </c>
      <c r="S20" s="48"/>
      <c r="T20" s="268"/>
      <c r="U20" s="268">
        <f>IF(Y20&gt;0,IF(Y20&gt;AA20,"2",IF(Y20&lt;AA20,"0",1)),0)</f>
        <v>0</v>
      </c>
      <c r="V20" s="277" t="s">
        <v>0</v>
      </c>
      <c r="W20" s="278">
        <f>IF(AA20&gt;0,IF(AA20&gt;Y20,"2",IF(AA20&lt;Y20,"0",1)),0)</f>
        <v>0</v>
      </c>
      <c r="X20" s="279"/>
      <c r="Y20" s="268">
        <f>IF(K20&gt;M20,1,0)+IF(N20&gt;P20,1,0)+IF(Q20&gt;S20,1,0)</f>
        <v>0</v>
      </c>
      <c r="Z20" s="277" t="s">
        <v>0</v>
      </c>
      <c r="AA20" s="278">
        <f>IF(K20&lt;M20,1,0)+IF(N20&lt;P20,1,0)+IF(Q20&lt;S20,1,0)</f>
        <v>0</v>
      </c>
      <c r="AB20" s="279"/>
      <c r="AC20" s="280"/>
      <c r="AD20" s="268">
        <f>K20+N20+Q20</f>
        <v>0</v>
      </c>
      <c r="AE20" s="277" t="s">
        <v>0</v>
      </c>
      <c r="AF20" s="278">
        <f>M20+P20+S20</f>
        <v>0</v>
      </c>
    </row>
    <row r="21" spans="1:32" ht="15.75" hidden="1" x14ac:dyDescent="0.25">
      <c r="A21" s="3"/>
      <c r="B21" s="239"/>
      <c r="C21" s="263"/>
      <c r="D21" s="51"/>
      <c r="E21" s="3"/>
      <c r="F21" s="3"/>
      <c r="G21" s="8"/>
      <c r="H21" s="35"/>
      <c r="I21" s="8"/>
      <c r="J21" s="8"/>
      <c r="K21" s="48"/>
      <c r="L21" s="49"/>
      <c r="M21" s="48"/>
      <c r="N21" s="48"/>
      <c r="O21" s="49"/>
      <c r="P21" s="48"/>
      <c r="Q21" s="48"/>
      <c r="R21" s="49"/>
      <c r="S21" s="48"/>
      <c r="T21" s="45"/>
      <c r="U21" s="270"/>
      <c r="V21" s="271"/>
      <c r="W21" s="270"/>
      <c r="X21" s="270"/>
      <c r="Y21" s="270"/>
      <c r="Z21" s="271"/>
      <c r="AA21" s="270"/>
      <c r="AB21" s="270"/>
      <c r="AC21" s="272"/>
      <c r="AD21" s="270"/>
      <c r="AE21" s="271"/>
      <c r="AF21" s="270"/>
    </row>
    <row r="22" spans="1:32" ht="15.75" hidden="1" x14ac:dyDescent="0.25">
      <c r="A22" s="3"/>
      <c r="B22" s="239"/>
      <c r="C22" s="263"/>
      <c r="D22" s="243"/>
      <c r="E22" s="3"/>
      <c r="F22" s="3"/>
      <c r="G22" s="8"/>
      <c r="H22" s="35"/>
      <c r="I22" s="8"/>
      <c r="J22" s="8"/>
      <c r="K22" s="48"/>
      <c r="L22" s="49"/>
      <c r="M22" s="48"/>
      <c r="N22" s="48"/>
      <c r="O22" s="49"/>
      <c r="P22" s="48"/>
      <c r="Q22" s="48"/>
      <c r="R22" s="49"/>
      <c r="S22" s="48"/>
      <c r="T22" s="45"/>
      <c r="U22" s="45"/>
      <c r="V22" s="49"/>
      <c r="W22" s="45"/>
      <c r="X22" s="45"/>
      <c r="Y22" s="45"/>
      <c r="Z22" s="49"/>
      <c r="AA22" s="45"/>
      <c r="AB22" s="45"/>
      <c r="AC22" s="115"/>
      <c r="AD22" s="45"/>
      <c r="AE22" s="49"/>
      <c r="AF22" s="45"/>
    </row>
    <row r="23" spans="1:32" ht="15.75" hidden="1" x14ac:dyDescent="0.25">
      <c r="A23" s="3"/>
      <c r="B23" s="239"/>
      <c r="C23" s="50"/>
      <c r="D23" s="51"/>
      <c r="E23" s="3"/>
      <c r="F23" s="3"/>
      <c r="G23" s="8"/>
      <c r="H23" s="35"/>
      <c r="I23" s="8"/>
      <c r="J23" s="8"/>
      <c r="K23" s="48"/>
      <c r="L23" s="49"/>
      <c r="M23" s="48"/>
      <c r="N23" s="48"/>
      <c r="O23" s="49"/>
      <c r="P23" s="48"/>
      <c r="Q23" s="48"/>
      <c r="R23" s="49"/>
      <c r="S23" s="48"/>
      <c r="T23" s="45"/>
      <c r="U23" s="45"/>
      <c r="V23" s="49"/>
      <c r="W23" s="45"/>
      <c r="X23" s="45"/>
      <c r="Y23" s="45"/>
      <c r="Z23" s="49"/>
      <c r="AA23" s="45"/>
      <c r="AB23" s="45"/>
      <c r="AC23" s="115"/>
      <c r="AD23" s="45"/>
      <c r="AE23" s="49"/>
      <c r="AF23" s="45"/>
    </row>
    <row r="24" spans="1:32" hidden="1" x14ac:dyDescent="0.2">
      <c r="A24" s="3"/>
      <c r="B24" s="239"/>
      <c r="C24" s="316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8"/>
    </row>
    <row r="25" spans="1:32" x14ac:dyDescent="0.2">
      <c r="A25" s="6"/>
      <c r="B25" s="240"/>
      <c r="T25" s="42"/>
      <c r="U25" s="42"/>
      <c r="V25" s="42"/>
      <c r="W25" s="42"/>
      <c r="AC25" s="116"/>
    </row>
    <row r="26" spans="1:32" s="19" customFormat="1" ht="23.25" x14ac:dyDescent="0.35">
      <c r="A26" s="17"/>
      <c r="B26" s="241"/>
      <c r="C26" s="15"/>
      <c r="D26" s="16"/>
      <c r="E26" s="16"/>
      <c r="F26" s="254" t="s">
        <v>3</v>
      </c>
      <c r="H26" s="17"/>
      <c r="I26" s="18" t="str">
        <f>Platzierung!U30</f>
        <v>Datum eintragen</v>
      </c>
      <c r="J26" s="17" t="str">
        <f>Platzierung!T30</f>
        <v>Spielort 2 eintragen</v>
      </c>
      <c r="K26" s="15"/>
      <c r="L26" s="15"/>
      <c r="M26" s="15"/>
      <c r="N26" s="15"/>
      <c r="O26" s="15"/>
      <c r="P26" s="15"/>
      <c r="Q26" s="252" t="str">
        <f>Platzierung!T31</f>
        <v>Straße eintragen</v>
      </c>
      <c r="R26" s="15"/>
      <c r="S26" s="15"/>
      <c r="T26" s="43"/>
      <c r="U26" s="43"/>
      <c r="V26" s="43"/>
      <c r="W26" s="43"/>
      <c r="X26" s="43"/>
      <c r="Y26" s="43"/>
      <c r="Z26" s="43"/>
      <c r="AA26" s="43"/>
      <c r="AB26" s="43"/>
      <c r="AC26" s="114"/>
      <c r="AD26" s="43"/>
      <c r="AE26" s="43"/>
      <c r="AF26" s="43"/>
    </row>
    <row r="27" spans="1:32" s="19" customFormat="1" ht="20.25" x14ac:dyDescent="0.3">
      <c r="A27" s="17"/>
      <c r="B27" s="241"/>
      <c r="C27" s="15"/>
      <c r="D27" s="16"/>
      <c r="E27" s="16"/>
      <c r="F27" s="17"/>
      <c r="H27" s="17"/>
      <c r="I27" s="18"/>
      <c r="J27" s="253" t="str">
        <f>Platzierung!U31</f>
        <v>Ansprechpartner 2</v>
      </c>
      <c r="K27" s="15"/>
      <c r="L27" s="15"/>
      <c r="M27" s="15"/>
      <c r="N27" s="15"/>
      <c r="O27" s="15"/>
      <c r="P27" s="15"/>
      <c r="Q27" s="253" t="str">
        <f>Platzierung!X31</f>
        <v>Telefonnummer 2</v>
      </c>
      <c r="R27" s="15"/>
      <c r="S27" s="15"/>
      <c r="T27" s="43"/>
      <c r="U27" s="43"/>
      <c r="V27" s="43"/>
      <c r="W27" s="43"/>
      <c r="X27" s="43"/>
      <c r="Y27" s="43"/>
      <c r="Z27" s="43"/>
      <c r="AA27" s="43"/>
      <c r="AB27" s="43"/>
      <c r="AC27" s="114"/>
      <c r="AD27" s="43"/>
      <c r="AE27" s="43"/>
      <c r="AF27" s="43"/>
    </row>
    <row r="28" spans="1:32" s="36" customFormat="1" ht="15.75" x14ac:dyDescent="0.25">
      <c r="A28" s="32" t="s">
        <v>14</v>
      </c>
      <c r="B28" s="237" t="s">
        <v>20</v>
      </c>
      <c r="C28" s="31" t="s">
        <v>9</v>
      </c>
      <c r="D28" s="32" t="s">
        <v>5</v>
      </c>
      <c r="E28" s="32" t="s">
        <v>4</v>
      </c>
      <c r="F28" s="32" t="s">
        <v>14</v>
      </c>
      <c r="G28" s="33" t="s">
        <v>8</v>
      </c>
      <c r="H28" s="34"/>
      <c r="I28" s="33" t="s">
        <v>7</v>
      </c>
      <c r="J28" s="35" t="s">
        <v>6</v>
      </c>
      <c r="K28" s="312" t="s">
        <v>65</v>
      </c>
      <c r="L28" s="312"/>
      <c r="M28" s="312"/>
      <c r="N28" s="312" t="s">
        <v>66</v>
      </c>
      <c r="O28" s="312"/>
      <c r="P28" s="312"/>
      <c r="Q28" s="312" t="s">
        <v>67</v>
      </c>
      <c r="R28" s="312"/>
      <c r="S28" s="312"/>
      <c r="T28" s="44"/>
      <c r="U28" s="313" t="s">
        <v>2</v>
      </c>
      <c r="V28" s="313"/>
      <c r="W28" s="313"/>
      <c r="X28" s="44"/>
      <c r="Y28" s="313" t="s">
        <v>68</v>
      </c>
      <c r="Z28" s="313"/>
      <c r="AA28" s="313"/>
      <c r="AB28" s="44"/>
      <c r="AC28" s="269"/>
      <c r="AD28" s="313" t="s">
        <v>1</v>
      </c>
      <c r="AE28" s="313"/>
      <c r="AF28" s="313"/>
    </row>
    <row r="29" spans="1:32" s="265" customFormat="1" ht="15.75" x14ac:dyDescent="0.25">
      <c r="A29" s="7">
        <v>15</v>
      </c>
      <c r="B29" s="238" t="str">
        <f>I26</f>
        <v>Datum eintragen</v>
      </c>
      <c r="C29" s="47">
        <f>Platzierung!X30</f>
        <v>0.41666666666666669</v>
      </c>
      <c r="D29" s="7">
        <v>1</v>
      </c>
      <c r="E29" s="7">
        <v>1</v>
      </c>
      <c r="F29" s="7">
        <v>15</v>
      </c>
      <c r="G29" s="25" t="str">
        <f>Platzierung!T18</f>
        <v>Mannschaft 3</v>
      </c>
      <c r="H29" s="26" t="s">
        <v>17</v>
      </c>
      <c r="I29" s="25" t="str">
        <f>Platzierung!T22</f>
        <v>Mannschaft 7</v>
      </c>
      <c r="J29" s="25" t="str">
        <f>Platzierung!T17</f>
        <v>Mannschaft 2</v>
      </c>
      <c r="K29" s="27"/>
      <c r="L29" s="28" t="s">
        <v>0</v>
      </c>
      <c r="M29" s="27"/>
      <c r="N29" s="27"/>
      <c r="O29" s="28" t="s">
        <v>0</v>
      </c>
      <c r="P29" s="27"/>
      <c r="Q29" s="27"/>
      <c r="R29" s="28" t="s">
        <v>0</v>
      </c>
      <c r="S29" s="27"/>
      <c r="T29" s="267"/>
      <c r="U29" s="267">
        <f t="shared" ref="U29:U41" si="6">IF(Y29&gt;0,IF(Y29&gt;AA29,"2",IF(Y29&lt;AA29,"0",1)),0)</f>
        <v>0</v>
      </c>
      <c r="V29" s="273" t="s">
        <v>0</v>
      </c>
      <c r="W29" s="274">
        <f t="shared" ref="W29:W41" si="7">IF(AA29&gt;0,IF(AA29&gt;Y29,"2",IF(AA29&lt;Y29,"0",1)),0)</f>
        <v>0</v>
      </c>
      <c r="X29" s="275"/>
      <c r="Y29" s="267">
        <f t="shared" ref="Y29:Y41" si="8">IF(K29&gt;M29,1,0)+IF(N29&gt;P29,1,0)+IF(Q29&gt;S29,1,0)</f>
        <v>0</v>
      </c>
      <c r="Z29" s="273" t="s">
        <v>0</v>
      </c>
      <c r="AA29" s="274">
        <f t="shared" ref="AA29:AA41" si="9">IF(K29&lt;M29,1,0)+IF(N29&lt;P29,1,0)+IF(Q29&lt;S29,1,0)</f>
        <v>0</v>
      </c>
      <c r="AB29" s="275"/>
      <c r="AC29" s="276"/>
      <c r="AD29" s="267">
        <f t="shared" ref="AD29:AD41" si="10">K29+N29+Q29</f>
        <v>0</v>
      </c>
      <c r="AE29" s="273" t="s">
        <v>0</v>
      </c>
      <c r="AF29" s="274">
        <f t="shared" ref="AF29:AF41" si="11">M29+P29+S29</f>
        <v>0</v>
      </c>
    </row>
    <row r="30" spans="1:32" ht="15.75" x14ac:dyDescent="0.25">
      <c r="A30" s="3">
        <v>16</v>
      </c>
      <c r="B30" s="239" t="str">
        <f>I26</f>
        <v>Datum eintragen</v>
      </c>
      <c r="C30" s="262">
        <f>SUM(C29+Platzierung!$U$11)</f>
        <v>0.44444444444444448</v>
      </c>
      <c r="D30" s="3">
        <v>2</v>
      </c>
      <c r="E30" s="3">
        <v>2</v>
      </c>
      <c r="F30" s="3">
        <v>16</v>
      </c>
      <c r="G30" s="8" t="str">
        <f>Platzierung!T17</f>
        <v>Mannschaft 2</v>
      </c>
      <c r="H30" s="35" t="s">
        <v>17</v>
      </c>
      <c r="I30" s="8" t="str">
        <f>Platzierung!T21</f>
        <v>Mannschaft 6</v>
      </c>
      <c r="J30" s="8" t="str">
        <f>Platzierung!T18</f>
        <v>Mannschaft 3</v>
      </c>
      <c r="K30" s="48"/>
      <c r="L30" s="49" t="s">
        <v>0</v>
      </c>
      <c r="M30" s="48"/>
      <c r="N30" s="48"/>
      <c r="O30" s="49" t="s">
        <v>0</v>
      </c>
      <c r="P30" s="48"/>
      <c r="Q30" s="48"/>
      <c r="R30" s="49" t="s">
        <v>0</v>
      </c>
      <c r="S30" s="48"/>
      <c r="T30" s="268"/>
      <c r="U30" s="268">
        <f t="shared" si="6"/>
        <v>0</v>
      </c>
      <c r="V30" s="277" t="s">
        <v>0</v>
      </c>
      <c r="W30" s="278">
        <f t="shared" si="7"/>
        <v>0</v>
      </c>
      <c r="X30" s="279"/>
      <c r="Y30" s="268">
        <f t="shared" si="8"/>
        <v>0</v>
      </c>
      <c r="Z30" s="277" t="s">
        <v>0</v>
      </c>
      <c r="AA30" s="278">
        <f t="shared" si="9"/>
        <v>0</v>
      </c>
      <c r="AB30" s="279"/>
      <c r="AC30" s="280"/>
      <c r="AD30" s="268">
        <f t="shared" si="10"/>
        <v>0</v>
      </c>
      <c r="AE30" s="277" t="s">
        <v>0</v>
      </c>
      <c r="AF30" s="278">
        <f t="shared" si="11"/>
        <v>0</v>
      </c>
    </row>
    <row r="31" spans="1:32" s="265" customFormat="1" ht="15.75" x14ac:dyDescent="0.25">
      <c r="A31" s="7">
        <v>17</v>
      </c>
      <c r="B31" s="238" t="str">
        <f>I26</f>
        <v>Datum eintragen</v>
      </c>
      <c r="C31" s="266">
        <f>SUM(C30+Platzierung!$U$11)</f>
        <v>0.47222222222222227</v>
      </c>
      <c r="D31" s="7">
        <v>3</v>
      </c>
      <c r="E31" s="7">
        <v>1</v>
      </c>
      <c r="F31" s="7">
        <v>17</v>
      </c>
      <c r="G31" s="25" t="str">
        <f>Platzierung!T20</f>
        <v>Mannschaft 5</v>
      </c>
      <c r="H31" s="26" t="s">
        <v>17</v>
      </c>
      <c r="I31" s="25" t="str">
        <f>Platzierung!T22</f>
        <v>Mannschaft 7</v>
      </c>
      <c r="J31" s="25" t="str">
        <f>Platzierung!T21</f>
        <v>Mannschaft 6</v>
      </c>
      <c r="K31" s="27"/>
      <c r="L31" s="28" t="s">
        <v>0</v>
      </c>
      <c r="M31" s="27"/>
      <c r="N31" s="27"/>
      <c r="O31" s="28" t="s">
        <v>0</v>
      </c>
      <c r="P31" s="27"/>
      <c r="Q31" s="27"/>
      <c r="R31" s="28" t="s">
        <v>0</v>
      </c>
      <c r="S31" s="27"/>
      <c r="T31" s="267"/>
      <c r="U31" s="267">
        <f t="shared" si="6"/>
        <v>0</v>
      </c>
      <c r="V31" s="273" t="s">
        <v>0</v>
      </c>
      <c r="W31" s="274">
        <f t="shared" si="7"/>
        <v>0</v>
      </c>
      <c r="X31" s="275"/>
      <c r="Y31" s="267">
        <f t="shared" si="8"/>
        <v>0</v>
      </c>
      <c r="Z31" s="273" t="s">
        <v>0</v>
      </c>
      <c r="AA31" s="274">
        <f t="shared" si="9"/>
        <v>0</v>
      </c>
      <c r="AB31" s="275"/>
      <c r="AC31" s="276"/>
      <c r="AD31" s="267">
        <f t="shared" si="10"/>
        <v>0</v>
      </c>
      <c r="AE31" s="273" t="s">
        <v>0</v>
      </c>
      <c r="AF31" s="274">
        <f t="shared" si="11"/>
        <v>0</v>
      </c>
    </row>
    <row r="32" spans="1:32" ht="15.75" x14ac:dyDescent="0.25">
      <c r="A32" s="3">
        <v>18</v>
      </c>
      <c r="B32" s="239" t="str">
        <f>I26</f>
        <v>Datum eintragen</v>
      </c>
      <c r="C32" s="262">
        <f>SUM(C31+Platzierung!$U$11)</f>
        <v>0.5</v>
      </c>
      <c r="D32" s="3">
        <v>4</v>
      </c>
      <c r="E32" s="3">
        <v>2</v>
      </c>
      <c r="F32" s="3">
        <v>18</v>
      </c>
      <c r="G32" s="8" t="str">
        <f>Platzierung!T16</f>
        <v>Mannschaft 1</v>
      </c>
      <c r="H32" s="35" t="s">
        <v>17</v>
      </c>
      <c r="I32" s="8" t="str">
        <f>Platzierung!T21</f>
        <v>Mannschaft 6</v>
      </c>
      <c r="J32" s="8" t="str">
        <f>Platzierung!T20</f>
        <v>Mannschaft 5</v>
      </c>
      <c r="K32" s="48"/>
      <c r="L32" s="49" t="s">
        <v>0</v>
      </c>
      <c r="M32" s="48"/>
      <c r="N32" s="48"/>
      <c r="O32" s="49" t="s">
        <v>0</v>
      </c>
      <c r="P32" s="48"/>
      <c r="Q32" s="48"/>
      <c r="R32" s="49" t="s">
        <v>0</v>
      </c>
      <c r="S32" s="48"/>
      <c r="T32" s="268"/>
      <c r="U32" s="268">
        <f t="shared" si="6"/>
        <v>0</v>
      </c>
      <c r="V32" s="277" t="s">
        <v>0</v>
      </c>
      <c r="W32" s="278">
        <f t="shared" si="7"/>
        <v>0</v>
      </c>
      <c r="X32" s="279"/>
      <c r="Y32" s="268">
        <f t="shared" si="8"/>
        <v>0</v>
      </c>
      <c r="Z32" s="277" t="s">
        <v>0</v>
      </c>
      <c r="AA32" s="278">
        <f t="shared" si="9"/>
        <v>0</v>
      </c>
      <c r="AB32" s="279"/>
      <c r="AC32" s="280"/>
      <c r="AD32" s="268">
        <f t="shared" si="10"/>
        <v>0</v>
      </c>
      <c r="AE32" s="277" t="s">
        <v>0</v>
      </c>
      <c r="AF32" s="278">
        <f t="shared" si="11"/>
        <v>0</v>
      </c>
    </row>
    <row r="33" spans="1:32" s="265" customFormat="1" ht="15.75" x14ac:dyDescent="0.25">
      <c r="A33" s="7">
        <v>19</v>
      </c>
      <c r="B33" s="238" t="str">
        <f>I26</f>
        <v>Datum eintragen</v>
      </c>
      <c r="C33" s="266">
        <f>SUM(C32+Platzierung!$U$11)</f>
        <v>0.52777777777777779</v>
      </c>
      <c r="D33" s="7">
        <v>5</v>
      </c>
      <c r="E33" s="7">
        <v>1</v>
      </c>
      <c r="F33" s="7">
        <v>19</v>
      </c>
      <c r="G33" s="25" t="str">
        <f>Platzierung!T18</f>
        <v>Mannschaft 3</v>
      </c>
      <c r="H33" s="26" t="s">
        <v>17</v>
      </c>
      <c r="I33" s="25" t="str">
        <f>Platzierung!T20</f>
        <v>Mannschaft 5</v>
      </c>
      <c r="J33" s="25" t="str">
        <f>Platzierung!T16</f>
        <v>Mannschaft 1</v>
      </c>
      <c r="K33" s="27"/>
      <c r="L33" s="28" t="s">
        <v>0</v>
      </c>
      <c r="M33" s="27"/>
      <c r="N33" s="27"/>
      <c r="O33" s="28" t="s">
        <v>0</v>
      </c>
      <c r="P33" s="27"/>
      <c r="Q33" s="27"/>
      <c r="R33" s="28" t="s">
        <v>0</v>
      </c>
      <c r="S33" s="27"/>
      <c r="T33" s="267"/>
      <c r="U33" s="267">
        <f t="shared" si="6"/>
        <v>0</v>
      </c>
      <c r="V33" s="273" t="s">
        <v>0</v>
      </c>
      <c r="W33" s="274">
        <f t="shared" si="7"/>
        <v>0</v>
      </c>
      <c r="X33" s="275"/>
      <c r="Y33" s="267">
        <f t="shared" si="8"/>
        <v>0</v>
      </c>
      <c r="Z33" s="273" t="s">
        <v>0</v>
      </c>
      <c r="AA33" s="274">
        <f t="shared" si="9"/>
        <v>0</v>
      </c>
      <c r="AB33" s="275"/>
      <c r="AC33" s="276"/>
      <c r="AD33" s="267">
        <f t="shared" si="10"/>
        <v>0</v>
      </c>
      <c r="AE33" s="273" t="s">
        <v>0</v>
      </c>
      <c r="AF33" s="274">
        <f t="shared" si="11"/>
        <v>0</v>
      </c>
    </row>
    <row r="34" spans="1:32" ht="15.75" x14ac:dyDescent="0.25">
      <c r="A34" s="3">
        <v>20</v>
      </c>
      <c r="B34" s="239" t="str">
        <f>I26</f>
        <v>Datum eintragen</v>
      </c>
      <c r="C34" s="262">
        <f>SUM(C33+Platzierung!$U$11)</f>
        <v>0.55555555555555558</v>
      </c>
      <c r="D34" s="3">
        <v>6</v>
      </c>
      <c r="E34" s="3">
        <v>2</v>
      </c>
      <c r="F34" s="3">
        <v>20</v>
      </c>
      <c r="G34" s="8" t="str">
        <f>Platzierung!T17</f>
        <v>Mannschaft 2</v>
      </c>
      <c r="H34" s="35" t="s">
        <v>17</v>
      </c>
      <c r="I34" s="8" t="str">
        <f>Platzierung!T19</f>
        <v>Mannschaft 4</v>
      </c>
      <c r="J34" s="8" t="str">
        <f>Platzierung!T18</f>
        <v>Mannschaft 3</v>
      </c>
      <c r="K34" s="48"/>
      <c r="L34" s="49" t="s">
        <v>0</v>
      </c>
      <c r="M34" s="48"/>
      <c r="N34" s="48"/>
      <c r="O34" s="49" t="s">
        <v>0</v>
      </c>
      <c r="P34" s="48"/>
      <c r="Q34" s="48"/>
      <c r="R34" s="49" t="s">
        <v>0</v>
      </c>
      <c r="S34" s="48"/>
      <c r="T34" s="268"/>
      <c r="U34" s="268">
        <f t="shared" si="6"/>
        <v>0</v>
      </c>
      <c r="V34" s="277" t="s">
        <v>0</v>
      </c>
      <c r="W34" s="278">
        <f t="shared" si="7"/>
        <v>0</v>
      </c>
      <c r="X34" s="279"/>
      <c r="Y34" s="268">
        <f t="shared" si="8"/>
        <v>0</v>
      </c>
      <c r="Z34" s="277" t="s">
        <v>0</v>
      </c>
      <c r="AA34" s="278">
        <f t="shared" si="9"/>
        <v>0</v>
      </c>
      <c r="AB34" s="279"/>
      <c r="AC34" s="280"/>
      <c r="AD34" s="268">
        <f t="shared" si="10"/>
        <v>0</v>
      </c>
      <c r="AE34" s="277" t="s">
        <v>0</v>
      </c>
      <c r="AF34" s="278">
        <f t="shared" si="11"/>
        <v>0</v>
      </c>
    </row>
    <row r="35" spans="1:32" s="265" customFormat="1" ht="15.75" x14ac:dyDescent="0.25">
      <c r="A35" s="7">
        <v>21</v>
      </c>
      <c r="B35" s="238" t="str">
        <f>I26</f>
        <v>Datum eintragen</v>
      </c>
      <c r="C35" s="266">
        <f>SUM(C34+Platzierung!$U$11)</f>
        <v>0.58333333333333337</v>
      </c>
      <c r="D35" s="7">
        <v>7</v>
      </c>
      <c r="E35" s="7">
        <v>1</v>
      </c>
      <c r="F35" s="7">
        <v>21</v>
      </c>
      <c r="G35" s="25" t="str">
        <f>Platzierung!T22</f>
        <v>Mannschaft 7</v>
      </c>
      <c r="H35" s="26" t="s">
        <v>17</v>
      </c>
      <c r="I35" s="25" t="str">
        <f>Platzierung!T21</f>
        <v>Mannschaft 6</v>
      </c>
      <c r="J35" s="25" t="str">
        <f>Platzierung!T17</f>
        <v>Mannschaft 2</v>
      </c>
      <c r="K35" s="27"/>
      <c r="L35" s="28" t="s">
        <v>0</v>
      </c>
      <c r="M35" s="27"/>
      <c r="N35" s="27"/>
      <c r="O35" s="28" t="s">
        <v>0</v>
      </c>
      <c r="P35" s="27"/>
      <c r="Q35" s="27"/>
      <c r="R35" s="28" t="s">
        <v>0</v>
      </c>
      <c r="S35" s="27"/>
      <c r="T35" s="267"/>
      <c r="U35" s="267">
        <f t="shared" si="6"/>
        <v>0</v>
      </c>
      <c r="V35" s="273" t="s">
        <v>0</v>
      </c>
      <c r="W35" s="274">
        <f t="shared" si="7"/>
        <v>0</v>
      </c>
      <c r="X35" s="275"/>
      <c r="Y35" s="267">
        <f t="shared" si="8"/>
        <v>0</v>
      </c>
      <c r="Z35" s="273" t="s">
        <v>0</v>
      </c>
      <c r="AA35" s="274">
        <f t="shared" si="9"/>
        <v>0</v>
      </c>
      <c r="AB35" s="275"/>
      <c r="AC35" s="276"/>
      <c r="AD35" s="267">
        <f t="shared" si="10"/>
        <v>0</v>
      </c>
      <c r="AE35" s="273" t="s">
        <v>0</v>
      </c>
      <c r="AF35" s="274">
        <f t="shared" si="11"/>
        <v>0</v>
      </c>
    </row>
    <row r="36" spans="1:32" ht="15.75" x14ac:dyDescent="0.25">
      <c r="A36" s="3">
        <v>22</v>
      </c>
      <c r="B36" s="239" t="str">
        <f>I26</f>
        <v>Datum eintragen</v>
      </c>
      <c r="C36" s="262">
        <f>SUM(C35+Platzierung!$U$11)</f>
        <v>0.61111111111111116</v>
      </c>
      <c r="D36" s="3">
        <v>8</v>
      </c>
      <c r="E36" s="3">
        <v>1</v>
      </c>
      <c r="F36" s="3">
        <v>22</v>
      </c>
      <c r="G36" s="8" t="str">
        <f>Platzierung!T16</f>
        <v>Mannschaft 1</v>
      </c>
      <c r="H36" s="35" t="s">
        <v>17</v>
      </c>
      <c r="I36" s="8" t="str">
        <f>Platzierung!T19</f>
        <v>Mannschaft 4</v>
      </c>
      <c r="J36" s="8" t="str">
        <f>Platzierung!T21</f>
        <v>Mannschaft 6</v>
      </c>
      <c r="K36" s="48"/>
      <c r="L36" s="49" t="s">
        <v>0</v>
      </c>
      <c r="M36" s="48"/>
      <c r="N36" s="48"/>
      <c r="O36" s="49" t="s">
        <v>0</v>
      </c>
      <c r="P36" s="48"/>
      <c r="Q36" s="48"/>
      <c r="R36" s="49" t="s">
        <v>0</v>
      </c>
      <c r="S36" s="48"/>
      <c r="T36" s="268"/>
      <c r="U36" s="268">
        <f>IF(Y36&gt;0,IF(Y36&gt;AA36,"2",IF(Y36&lt;AA36,"0",1)),0)</f>
        <v>0</v>
      </c>
      <c r="V36" s="277" t="s">
        <v>0</v>
      </c>
      <c r="W36" s="278">
        <f>IF(AA36&gt;0,IF(AA36&gt;Y36,"2",IF(AA36&lt;Y36,"0",1)),0)</f>
        <v>0</v>
      </c>
      <c r="X36" s="279"/>
      <c r="Y36" s="268">
        <f>IF(K36&gt;M36,1,0)+IF(N36&gt;P36,1,0)+IF(Q36&gt;S36,1,0)</f>
        <v>0</v>
      </c>
      <c r="Z36" s="277" t="s">
        <v>0</v>
      </c>
      <c r="AA36" s="278">
        <f>IF(K36&lt;M36,1,0)+IF(N36&lt;P36,1,0)+IF(Q36&lt;S36,1,0)</f>
        <v>0</v>
      </c>
      <c r="AB36" s="279"/>
      <c r="AC36" s="280"/>
      <c r="AD36" s="268">
        <f>K36+N36+Q36</f>
        <v>0</v>
      </c>
      <c r="AE36" s="277" t="s">
        <v>0</v>
      </c>
      <c r="AF36" s="278">
        <f>M36+P36+S36</f>
        <v>0</v>
      </c>
    </row>
    <row r="37" spans="1:32" s="265" customFormat="1" ht="15.75" x14ac:dyDescent="0.25">
      <c r="A37" s="7">
        <v>23</v>
      </c>
      <c r="B37" s="238" t="str">
        <f>I26</f>
        <v>Datum eintragen</v>
      </c>
      <c r="C37" s="266">
        <f>SUM(C36+Platzierung!$U$11)</f>
        <v>0.63888888888888895</v>
      </c>
      <c r="D37" s="7">
        <v>9</v>
      </c>
      <c r="E37" s="7">
        <v>1</v>
      </c>
      <c r="F37" s="7">
        <v>23</v>
      </c>
      <c r="G37" s="25" t="str">
        <f>Platzierung!T18</f>
        <v>Mannschaft 3</v>
      </c>
      <c r="H37" s="26" t="s">
        <v>17</v>
      </c>
      <c r="I37" s="25" t="str">
        <f>Platzierung!T17</f>
        <v>Mannschaft 2</v>
      </c>
      <c r="J37" s="25" t="str">
        <f>Platzierung!T22</f>
        <v>Mannschaft 7</v>
      </c>
      <c r="K37" s="27"/>
      <c r="L37" s="28" t="s">
        <v>0</v>
      </c>
      <c r="M37" s="27"/>
      <c r="N37" s="27"/>
      <c r="O37" s="28" t="s">
        <v>0</v>
      </c>
      <c r="P37" s="27"/>
      <c r="Q37" s="27"/>
      <c r="R37" s="28" t="s">
        <v>0</v>
      </c>
      <c r="S37" s="27"/>
      <c r="T37" s="267"/>
      <c r="U37" s="267">
        <f t="shared" si="6"/>
        <v>0</v>
      </c>
      <c r="V37" s="273" t="s">
        <v>0</v>
      </c>
      <c r="W37" s="274">
        <f t="shared" si="7"/>
        <v>0</v>
      </c>
      <c r="X37" s="275"/>
      <c r="Y37" s="267">
        <f t="shared" si="8"/>
        <v>0</v>
      </c>
      <c r="Z37" s="273" t="s">
        <v>0</v>
      </c>
      <c r="AA37" s="274">
        <f t="shared" si="9"/>
        <v>0</v>
      </c>
      <c r="AB37" s="275"/>
      <c r="AC37" s="276"/>
      <c r="AD37" s="267">
        <f t="shared" si="10"/>
        <v>0</v>
      </c>
      <c r="AE37" s="273" t="s">
        <v>0</v>
      </c>
      <c r="AF37" s="274">
        <f t="shared" si="11"/>
        <v>0</v>
      </c>
    </row>
    <row r="38" spans="1:32" ht="15.75" x14ac:dyDescent="0.25">
      <c r="A38" s="3">
        <v>24</v>
      </c>
      <c r="B38" s="239" t="str">
        <f>I26</f>
        <v>Datum eintragen</v>
      </c>
      <c r="C38" s="262">
        <f>SUM(C37+Platzierung!$U$11)</f>
        <v>0.66666666666666674</v>
      </c>
      <c r="D38" s="3">
        <v>10</v>
      </c>
      <c r="E38" s="3">
        <v>2</v>
      </c>
      <c r="F38" s="3">
        <v>24</v>
      </c>
      <c r="G38" s="8" t="str">
        <f>Platzierung!T21</f>
        <v>Mannschaft 6</v>
      </c>
      <c r="H38" s="35" t="s">
        <v>17</v>
      </c>
      <c r="I38" s="8" t="str">
        <f>Platzierung!T20</f>
        <v>Mannschaft 5</v>
      </c>
      <c r="J38" s="8" t="str">
        <f>Platzierung!T19</f>
        <v>Mannschaft 4</v>
      </c>
      <c r="K38" s="48"/>
      <c r="L38" s="49" t="s">
        <v>0</v>
      </c>
      <c r="M38" s="48"/>
      <c r="N38" s="48"/>
      <c r="O38" s="49" t="s">
        <v>0</v>
      </c>
      <c r="P38" s="48"/>
      <c r="Q38" s="48"/>
      <c r="R38" s="49" t="s">
        <v>0</v>
      </c>
      <c r="S38" s="48"/>
      <c r="T38" s="268"/>
      <c r="U38" s="268">
        <f t="shared" si="6"/>
        <v>0</v>
      </c>
      <c r="V38" s="277" t="s">
        <v>0</v>
      </c>
      <c r="W38" s="278">
        <f t="shared" si="7"/>
        <v>0</v>
      </c>
      <c r="X38" s="279"/>
      <c r="Y38" s="268">
        <f t="shared" si="8"/>
        <v>0</v>
      </c>
      <c r="Z38" s="277" t="s">
        <v>0</v>
      </c>
      <c r="AA38" s="278">
        <f t="shared" si="9"/>
        <v>0</v>
      </c>
      <c r="AB38" s="279"/>
      <c r="AC38" s="280"/>
      <c r="AD38" s="268">
        <f t="shared" si="10"/>
        <v>0</v>
      </c>
      <c r="AE38" s="277" t="s">
        <v>0</v>
      </c>
      <c r="AF38" s="278">
        <f t="shared" si="11"/>
        <v>0</v>
      </c>
    </row>
    <row r="39" spans="1:32" s="265" customFormat="1" ht="15.75" x14ac:dyDescent="0.25">
      <c r="A39" s="7">
        <v>25</v>
      </c>
      <c r="B39" s="238" t="str">
        <f>I26</f>
        <v>Datum eintragen</v>
      </c>
      <c r="C39" s="266">
        <f>SUM(C38+Platzierung!$U$11)</f>
        <v>0.69444444444444453</v>
      </c>
      <c r="D39" s="7">
        <v>11</v>
      </c>
      <c r="E39" s="7">
        <v>1</v>
      </c>
      <c r="F39" s="7">
        <v>25</v>
      </c>
      <c r="G39" s="25" t="str">
        <f>Platzierung!T22</f>
        <v>Mannschaft 7</v>
      </c>
      <c r="H39" s="26" t="s">
        <v>17</v>
      </c>
      <c r="I39" s="25" t="str">
        <f>Platzierung!T16</f>
        <v>Mannschaft 1</v>
      </c>
      <c r="J39" s="25" t="str">
        <f>Platzierung!T20</f>
        <v>Mannschaft 5</v>
      </c>
      <c r="K39" s="27"/>
      <c r="L39" s="28" t="s">
        <v>0</v>
      </c>
      <c r="M39" s="27"/>
      <c r="N39" s="27"/>
      <c r="O39" s="28" t="s">
        <v>0</v>
      </c>
      <c r="P39" s="27"/>
      <c r="Q39" s="27"/>
      <c r="R39" s="28" t="s">
        <v>0</v>
      </c>
      <c r="S39" s="27"/>
      <c r="T39" s="267"/>
      <c r="U39" s="267">
        <f t="shared" si="6"/>
        <v>0</v>
      </c>
      <c r="V39" s="273" t="s">
        <v>0</v>
      </c>
      <c r="W39" s="274">
        <f t="shared" si="7"/>
        <v>0</v>
      </c>
      <c r="X39" s="275"/>
      <c r="Y39" s="267">
        <f t="shared" si="8"/>
        <v>0</v>
      </c>
      <c r="Z39" s="273" t="s">
        <v>0</v>
      </c>
      <c r="AA39" s="274">
        <f t="shared" si="9"/>
        <v>0</v>
      </c>
      <c r="AB39" s="275"/>
      <c r="AC39" s="276"/>
      <c r="AD39" s="267">
        <f t="shared" si="10"/>
        <v>0</v>
      </c>
      <c r="AE39" s="273" t="s">
        <v>0</v>
      </c>
      <c r="AF39" s="274">
        <f t="shared" si="11"/>
        <v>0</v>
      </c>
    </row>
    <row r="40" spans="1:32" ht="15.75" x14ac:dyDescent="0.25">
      <c r="A40" s="3">
        <v>26</v>
      </c>
      <c r="B40" s="239" t="str">
        <f>I26</f>
        <v>Datum eintragen</v>
      </c>
      <c r="C40" s="262">
        <f>SUM(C39+Platzierung!$U$11)</f>
        <v>0.72222222222222232</v>
      </c>
      <c r="D40" s="3">
        <v>12</v>
      </c>
      <c r="E40" s="3">
        <v>1</v>
      </c>
      <c r="F40" s="3">
        <v>26</v>
      </c>
      <c r="G40" s="8" t="str">
        <f>Platzierung!T20</f>
        <v>Mannschaft 5</v>
      </c>
      <c r="H40" s="35" t="s">
        <v>17</v>
      </c>
      <c r="I40" s="8" t="str">
        <f>Platzierung!T19</f>
        <v>Mannschaft 4</v>
      </c>
      <c r="J40" s="8" t="str">
        <f>Platzierung!T22</f>
        <v>Mannschaft 7</v>
      </c>
      <c r="K40" s="48"/>
      <c r="L40" s="49" t="s">
        <v>0</v>
      </c>
      <c r="M40" s="48"/>
      <c r="N40" s="48"/>
      <c r="O40" s="49" t="s">
        <v>0</v>
      </c>
      <c r="P40" s="48"/>
      <c r="Q40" s="48"/>
      <c r="R40" s="49" t="s">
        <v>0</v>
      </c>
      <c r="S40" s="48"/>
      <c r="T40" s="268"/>
      <c r="U40" s="268">
        <f>IF(Y40&gt;0,IF(Y40&gt;AA40,"2",IF(Y40&lt;AA40,"0",1)),0)</f>
        <v>0</v>
      </c>
      <c r="V40" s="277" t="s">
        <v>0</v>
      </c>
      <c r="W40" s="278">
        <f>IF(AA40&gt;0,IF(AA40&gt;Y40,"2",IF(AA40&lt;Y40,"0",1)),0)</f>
        <v>0</v>
      </c>
      <c r="X40" s="279"/>
      <c r="Y40" s="268">
        <f>IF(K40&gt;M40,1,0)+IF(N40&gt;P40,1,0)+IF(Q40&gt;S40,1,0)</f>
        <v>0</v>
      </c>
      <c r="Z40" s="277" t="s">
        <v>0</v>
      </c>
      <c r="AA40" s="278">
        <f>IF(K40&lt;M40,1,0)+IF(N40&lt;P40,1,0)+IF(Q40&lt;S40,1,0)</f>
        <v>0</v>
      </c>
      <c r="AB40" s="279"/>
      <c r="AC40" s="280"/>
      <c r="AD40" s="268">
        <f>K40+N40+Q40</f>
        <v>0</v>
      </c>
      <c r="AE40" s="277" t="s">
        <v>0</v>
      </c>
      <c r="AF40" s="278">
        <f>M40+P40+S40</f>
        <v>0</v>
      </c>
    </row>
    <row r="41" spans="1:32" s="265" customFormat="1" ht="15.75" x14ac:dyDescent="0.25">
      <c r="A41" s="7">
        <v>27</v>
      </c>
      <c r="B41" s="238" t="str">
        <f>I26</f>
        <v>Datum eintragen</v>
      </c>
      <c r="C41" s="266">
        <f>SUM(C40+Platzierung!$U$11)</f>
        <v>0.75000000000000011</v>
      </c>
      <c r="D41" s="7">
        <v>13</v>
      </c>
      <c r="E41" s="7">
        <v>1</v>
      </c>
      <c r="F41" s="7">
        <v>27</v>
      </c>
      <c r="G41" s="25" t="str">
        <f>Platzierung!T19</f>
        <v>Mannschaft 4</v>
      </c>
      <c r="H41" s="26" t="s">
        <v>17</v>
      </c>
      <c r="I41" s="25" t="str">
        <f>Platzierung!T18</f>
        <v>Mannschaft 3</v>
      </c>
      <c r="J41" s="25" t="str">
        <f>Platzierung!T16</f>
        <v>Mannschaft 1</v>
      </c>
      <c r="K41" s="27"/>
      <c r="L41" s="28" t="s">
        <v>0</v>
      </c>
      <c r="M41" s="27"/>
      <c r="N41" s="27"/>
      <c r="O41" s="28" t="s">
        <v>0</v>
      </c>
      <c r="P41" s="27"/>
      <c r="Q41" s="27"/>
      <c r="R41" s="28" t="s">
        <v>0</v>
      </c>
      <c r="S41" s="27"/>
      <c r="T41" s="267"/>
      <c r="U41" s="267">
        <f t="shared" si="6"/>
        <v>0</v>
      </c>
      <c r="V41" s="273" t="s">
        <v>0</v>
      </c>
      <c r="W41" s="274">
        <f t="shared" si="7"/>
        <v>0</v>
      </c>
      <c r="X41" s="275"/>
      <c r="Y41" s="267">
        <f t="shared" si="8"/>
        <v>0</v>
      </c>
      <c r="Z41" s="273" t="s">
        <v>0</v>
      </c>
      <c r="AA41" s="274">
        <f t="shared" si="9"/>
        <v>0</v>
      </c>
      <c r="AB41" s="275"/>
      <c r="AC41" s="276"/>
      <c r="AD41" s="267">
        <f t="shared" si="10"/>
        <v>0</v>
      </c>
      <c r="AE41" s="273" t="s">
        <v>0</v>
      </c>
      <c r="AF41" s="274">
        <f t="shared" si="11"/>
        <v>0</v>
      </c>
    </row>
    <row r="42" spans="1:32" ht="15.75" x14ac:dyDescent="0.25">
      <c r="A42" s="3">
        <v>28</v>
      </c>
      <c r="B42" s="239" t="str">
        <f>I26</f>
        <v>Datum eintragen</v>
      </c>
      <c r="C42" s="262">
        <f>SUM(C41+Platzierung!$U$11)</f>
        <v>0.7777777777777779</v>
      </c>
      <c r="D42" s="3">
        <v>14</v>
      </c>
      <c r="E42" s="3">
        <v>2</v>
      </c>
      <c r="F42" s="3">
        <v>28</v>
      </c>
      <c r="G42" s="8" t="str">
        <f>Platzierung!T17</f>
        <v>Mannschaft 2</v>
      </c>
      <c r="H42" s="35" t="s">
        <v>17</v>
      </c>
      <c r="I42" s="8" t="str">
        <f>Platzierung!T16</f>
        <v>Mannschaft 1</v>
      </c>
      <c r="J42" s="8" t="str">
        <f>Platzierung!T19</f>
        <v>Mannschaft 4</v>
      </c>
      <c r="K42" s="48"/>
      <c r="L42" s="49" t="s">
        <v>0</v>
      </c>
      <c r="M42" s="48"/>
      <c r="N42" s="48"/>
      <c r="O42" s="49" t="s">
        <v>0</v>
      </c>
      <c r="P42" s="48"/>
      <c r="Q42" s="48"/>
      <c r="R42" s="49" t="s">
        <v>0</v>
      </c>
      <c r="S42" s="48"/>
      <c r="T42" s="268"/>
      <c r="U42" s="268">
        <f>IF(Y42&gt;0,IF(Y42&gt;AA42,"2",IF(Y42&lt;AA42,"0",1)),0)</f>
        <v>0</v>
      </c>
      <c r="V42" s="277" t="s">
        <v>0</v>
      </c>
      <c r="W42" s="278">
        <f>IF(AA42&gt;0,IF(AA42&gt;Y42,"2",IF(AA42&lt;Y42,"0",1)),0)</f>
        <v>0</v>
      </c>
      <c r="X42" s="279"/>
      <c r="Y42" s="268">
        <f>IF(K42&gt;M42,1,0)+IF(N42&gt;P42,1,0)+IF(Q42&gt;S42,1,0)</f>
        <v>0</v>
      </c>
      <c r="Z42" s="277" t="s">
        <v>0</v>
      </c>
      <c r="AA42" s="278">
        <f>IF(K42&lt;M42,1,0)+IF(N42&lt;P42,1,0)+IF(Q42&lt;S42,1,0)</f>
        <v>0</v>
      </c>
      <c r="AB42" s="279"/>
      <c r="AC42" s="280"/>
      <c r="AD42" s="268">
        <f>K42+N42+Q42</f>
        <v>0</v>
      </c>
      <c r="AE42" s="277" t="s">
        <v>0</v>
      </c>
      <c r="AF42" s="278">
        <f>M42+P42+S42</f>
        <v>0</v>
      </c>
    </row>
    <row r="43" spans="1:32" ht="15.75" hidden="1" x14ac:dyDescent="0.25">
      <c r="A43" s="3"/>
      <c r="B43" s="239"/>
      <c r="C43" s="50"/>
      <c r="D43" s="51"/>
      <c r="E43" s="3"/>
      <c r="F43" s="3"/>
      <c r="G43" s="8"/>
      <c r="H43" s="35"/>
      <c r="I43" s="8"/>
      <c r="J43" s="8"/>
      <c r="K43" s="48"/>
      <c r="L43" s="49"/>
      <c r="M43" s="48"/>
      <c r="N43" s="48"/>
      <c r="O43" s="49"/>
      <c r="P43" s="48"/>
      <c r="Q43" s="48"/>
      <c r="R43" s="49"/>
      <c r="S43" s="48"/>
      <c r="T43" s="45"/>
      <c r="U43" s="270"/>
      <c r="V43" s="271"/>
      <c r="W43" s="270"/>
      <c r="X43" s="270"/>
      <c r="Y43" s="270"/>
      <c r="Z43" s="271"/>
      <c r="AA43" s="270"/>
      <c r="AB43" s="270"/>
      <c r="AC43" s="272"/>
      <c r="AD43" s="270"/>
      <c r="AE43" s="271"/>
      <c r="AF43" s="270"/>
    </row>
    <row r="44" spans="1:32" ht="15.75" hidden="1" x14ac:dyDescent="0.25">
      <c r="A44" s="3"/>
      <c r="B44" s="239"/>
      <c r="C44" s="242"/>
      <c r="D44" s="243"/>
      <c r="E44" s="3"/>
      <c r="F44" s="3"/>
      <c r="G44" s="8"/>
      <c r="H44" s="35"/>
      <c r="I44" s="8"/>
      <c r="J44" s="8"/>
      <c r="K44" s="48"/>
      <c r="L44" s="49"/>
      <c r="M44" s="48"/>
      <c r="N44" s="48"/>
      <c r="O44" s="49"/>
      <c r="P44" s="48"/>
      <c r="Q44" s="48"/>
      <c r="R44" s="49"/>
      <c r="S44" s="48"/>
      <c r="T44" s="45"/>
      <c r="U44" s="45"/>
      <c r="V44" s="49"/>
      <c r="W44" s="45"/>
      <c r="X44" s="45"/>
      <c r="Y44" s="45"/>
      <c r="Z44" s="49"/>
      <c r="AA44" s="45"/>
      <c r="AB44" s="45"/>
      <c r="AC44" s="115"/>
      <c r="AD44" s="45"/>
      <c r="AE44" s="49"/>
      <c r="AF44" s="45"/>
    </row>
    <row r="45" spans="1:32" x14ac:dyDescent="0.2">
      <c r="A45" s="6"/>
      <c r="B45" s="240"/>
      <c r="T45" s="42"/>
      <c r="U45" s="42"/>
      <c r="V45" s="42"/>
      <c r="W45" s="42"/>
      <c r="AC45" s="116"/>
    </row>
    <row r="46" spans="1:32" s="19" customFormat="1" ht="23.25" x14ac:dyDescent="0.35">
      <c r="A46" s="17"/>
      <c r="B46" s="241"/>
      <c r="C46" s="15"/>
      <c r="D46" s="16"/>
      <c r="E46" s="16"/>
      <c r="F46" s="254" t="s">
        <v>174</v>
      </c>
      <c r="H46" s="17"/>
      <c r="I46" s="18" t="str">
        <f>Platzierung!U32</f>
        <v>Datum eintragen</v>
      </c>
      <c r="J46" s="17" t="str">
        <f>Platzierung!T32</f>
        <v>Spielort 3 eintragen</v>
      </c>
      <c r="K46" s="15"/>
      <c r="L46" s="15"/>
      <c r="M46" s="15"/>
      <c r="N46" s="15"/>
      <c r="O46" s="15"/>
      <c r="P46" s="15"/>
      <c r="Q46" s="252" t="str">
        <f>Platzierung!T33</f>
        <v>Straße einntragen</v>
      </c>
      <c r="R46" s="15"/>
      <c r="S46" s="15"/>
      <c r="T46" s="43"/>
      <c r="U46" s="43"/>
      <c r="V46" s="43"/>
      <c r="W46" s="43"/>
      <c r="X46" s="43"/>
      <c r="Y46" s="43"/>
      <c r="Z46" s="43"/>
      <c r="AA46" s="43"/>
      <c r="AB46" s="43"/>
      <c r="AC46" s="114"/>
      <c r="AD46" s="43"/>
      <c r="AE46" s="43"/>
      <c r="AF46" s="43"/>
    </row>
    <row r="47" spans="1:32" s="19" customFormat="1" ht="20.25" x14ac:dyDescent="0.3">
      <c r="A47" s="17"/>
      <c r="B47" s="241"/>
      <c r="C47" s="15"/>
      <c r="D47" s="16"/>
      <c r="E47" s="16"/>
      <c r="F47" s="17"/>
      <c r="H47" s="17"/>
      <c r="I47" s="18"/>
      <c r="J47" s="253" t="str">
        <f>Platzierung!U33</f>
        <v>Ansprechpartner 3</v>
      </c>
      <c r="K47" s="15"/>
      <c r="L47" s="15"/>
      <c r="M47" s="15"/>
      <c r="N47" s="15"/>
      <c r="O47" s="15"/>
      <c r="P47" s="15"/>
      <c r="Q47" s="253" t="str">
        <f>Platzierung!X33</f>
        <v>Telefonnummer 3</v>
      </c>
      <c r="R47" s="15"/>
      <c r="S47" s="15"/>
      <c r="T47" s="43"/>
      <c r="U47" s="43"/>
      <c r="V47" s="43"/>
      <c r="W47" s="43"/>
      <c r="X47" s="43"/>
      <c r="Y47" s="43"/>
      <c r="Z47" s="43"/>
      <c r="AA47" s="43"/>
      <c r="AB47" s="43"/>
      <c r="AC47" s="114"/>
      <c r="AD47" s="43"/>
      <c r="AE47" s="43"/>
      <c r="AF47" s="43"/>
    </row>
    <row r="48" spans="1:32" s="36" customFormat="1" ht="15.75" x14ac:dyDescent="0.25">
      <c r="A48" s="32" t="s">
        <v>14</v>
      </c>
      <c r="B48" s="237" t="s">
        <v>20</v>
      </c>
      <c r="C48" s="31" t="s">
        <v>9</v>
      </c>
      <c r="D48" s="32" t="s">
        <v>5</v>
      </c>
      <c r="E48" s="32" t="s">
        <v>4</v>
      </c>
      <c r="F48" s="32" t="s">
        <v>14</v>
      </c>
      <c r="G48" s="33" t="s">
        <v>8</v>
      </c>
      <c r="H48" s="34"/>
      <c r="I48" s="33" t="s">
        <v>7</v>
      </c>
      <c r="J48" s="35" t="s">
        <v>6</v>
      </c>
      <c r="K48" s="312" t="s">
        <v>65</v>
      </c>
      <c r="L48" s="312"/>
      <c r="M48" s="312"/>
      <c r="N48" s="312" t="s">
        <v>66</v>
      </c>
      <c r="O48" s="312"/>
      <c r="P48" s="312"/>
      <c r="Q48" s="312" t="s">
        <v>67</v>
      </c>
      <c r="R48" s="312"/>
      <c r="S48" s="312"/>
      <c r="T48" s="44"/>
      <c r="U48" s="313" t="s">
        <v>2</v>
      </c>
      <c r="V48" s="313"/>
      <c r="W48" s="313"/>
      <c r="X48" s="44"/>
      <c r="Y48" s="313" t="s">
        <v>68</v>
      </c>
      <c r="Z48" s="313"/>
      <c r="AA48" s="313"/>
      <c r="AB48" s="44"/>
      <c r="AC48" s="269"/>
      <c r="AD48" s="313" t="s">
        <v>1</v>
      </c>
      <c r="AE48" s="313"/>
      <c r="AF48" s="313"/>
    </row>
    <row r="49" spans="1:32" s="265" customFormat="1" ht="15.75" x14ac:dyDescent="0.25">
      <c r="A49" s="7">
        <v>29</v>
      </c>
      <c r="B49" s="238" t="str">
        <f>I46</f>
        <v>Datum eintragen</v>
      </c>
      <c r="C49" s="47">
        <f>Platzierung!X32</f>
        <v>0.41666666666666669</v>
      </c>
      <c r="D49" s="7">
        <v>1</v>
      </c>
      <c r="E49" s="7">
        <v>1</v>
      </c>
      <c r="F49" s="7">
        <v>29</v>
      </c>
      <c r="G49" s="25" t="str">
        <f>Platzierung!T22</f>
        <v>Mannschaft 7</v>
      </c>
      <c r="H49" s="26" t="s">
        <v>17</v>
      </c>
      <c r="I49" s="25" t="str">
        <f>Platzierung!T20</f>
        <v>Mannschaft 5</v>
      </c>
      <c r="J49" s="25" t="str">
        <f>Platzierung!T16</f>
        <v>Mannschaft 1</v>
      </c>
      <c r="K49" s="27"/>
      <c r="L49" s="28" t="s">
        <v>0</v>
      </c>
      <c r="M49" s="27"/>
      <c r="N49" s="27"/>
      <c r="O49" s="28" t="s">
        <v>0</v>
      </c>
      <c r="P49" s="27"/>
      <c r="Q49" s="27"/>
      <c r="R49" s="28" t="s">
        <v>0</v>
      </c>
      <c r="S49" s="27"/>
      <c r="T49" s="267"/>
      <c r="U49" s="267">
        <f t="shared" ref="U49:U59" si="12">IF(Y49&gt;0,IF(Y49&gt;AA49,"2",IF(Y49&lt;AA49,"0",1)),0)</f>
        <v>0</v>
      </c>
      <c r="V49" s="273" t="s">
        <v>0</v>
      </c>
      <c r="W49" s="274">
        <f t="shared" ref="W49:W59" si="13">IF(AA49&gt;0,IF(AA49&gt;Y49,"2",IF(AA49&lt;Y49,"0",1)),0)</f>
        <v>0</v>
      </c>
      <c r="X49" s="275"/>
      <c r="Y49" s="267">
        <f t="shared" ref="Y49:Y59" si="14">IF(K49&gt;M49,1,0)+IF(N49&gt;P49,1,0)+IF(Q49&gt;S49,1,0)</f>
        <v>0</v>
      </c>
      <c r="Z49" s="273" t="s">
        <v>0</v>
      </c>
      <c r="AA49" s="274">
        <f t="shared" ref="AA49:AA59" si="15">IF(K49&lt;M49,1,0)+IF(N49&lt;P49,1,0)+IF(Q49&lt;S49,1,0)</f>
        <v>0</v>
      </c>
      <c r="AB49" s="275"/>
      <c r="AC49" s="276"/>
      <c r="AD49" s="267">
        <f t="shared" ref="AD49:AD59" si="16">K49+N49+Q49</f>
        <v>0</v>
      </c>
      <c r="AE49" s="273" t="s">
        <v>0</v>
      </c>
      <c r="AF49" s="274">
        <f t="shared" ref="AF49:AF59" si="17">M49+P49+S49</f>
        <v>0</v>
      </c>
    </row>
    <row r="50" spans="1:32" ht="15.75" x14ac:dyDescent="0.25">
      <c r="A50" s="3">
        <v>30</v>
      </c>
      <c r="B50" s="239" t="str">
        <f>I46</f>
        <v>Datum eintragen</v>
      </c>
      <c r="C50" s="262">
        <f>SUM(C49+Platzierung!$U$11)</f>
        <v>0.44444444444444448</v>
      </c>
      <c r="D50" s="3">
        <v>2</v>
      </c>
      <c r="E50" s="3">
        <v>2</v>
      </c>
      <c r="F50" s="3">
        <v>30</v>
      </c>
      <c r="G50" s="8" t="str">
        <f>Platzierung!T21</f>
        <v>Mannschaft 6</v>
      </c>
      <c r="H50" s="35" t="s">
        <v>17</v>
      </c>
      <c r="I50" s="8" t="str">
        <f>Platzierung!T16</f>
        <v>Mannschaft 1</v>
      </c>
      <c r="J50" s="8" t="str">
        <f>Platzierung!T20</f>
        <v>Mannschaft 5</v>
      </c>
      <c r="K50" s="48"/>
      <c r="L50" s="49" t="s">
        <v>0</v>
      </c>
      <c r="M50" s="48"/>
      <c r="N50" s="48"/>
      <c r="O50" s="49" t="s">
        <v>0</v>
      </c>
      <c r="P50" s="48"/>
      <c r="Q50" s="48"/>
      <c r="R50" s="49" t="s">
        <v>0</v>
      </c>
      <c r="S50" s="48"/>
      <c r="T50" s="268"/>
      <c r="U50" s="268">
        <f t="shared" si="12"/>
        <v>0</v>
      </c>
      <c r="V50" s="277" t="s">
        <v>0</v>
      </c>
      <c r="W50" s="278">
        <f t="shared" si="13"/>
        <v>0</v>
      </c>
      <c r="X50" s="279"/>
      <c r="Y50" s="268">
        <f t="shared" si="14"/>
        <v>0</v>
      </c>
      <c r="Z50" s="277" t="s">
        <v>0</v>
      </c>
      <c r="AA50" s="278">
        <f t="shared" si="15"/>
        <v>0</v>
      </c>
      <c r="AB50" s="279"/>
      <c r="AC50" s="280"/>
      <c r="AD50" s="268">
        <f t="shared" si="16"/>
        <v>0</v>
      </c>
      <c r="AE50" s="277" t="s">
        <v>0</v>
      </c>
      <c r="AF50" s="278">
        <f t="shared" si="17"/>
        <v>0</v>
      </c>
    </row>
    <row r="51" spans="1:32" s="265" customFormat="1" ht="15.75" x14ac:dyDescent="0.25">
      <c r="A51" s="7">
        <v>31</v>
      </c>
      <c r="B51" s="238" t="str">
        <f>I46</f>
        <v>Datum eintragen</v>
      </c>
      <c r="C51" s="266">
        <f>SUM(C50+Platzierung!$U$11)</f>
        <v>0.47222222222222227</v>
      </c>
      <c r="D51" s="7">
        <v>3</v>
      </c>
      <c r="E51" s="7">
        <v>1</v>
      </c>
      <c r="F51" s="7">
        <v>31</v>
      </c>
      <c r="G51" s="25" t="str">
        <f>Platzierung!T22</f>
        <v>Mannschaft 7</v>
      </c>
      <c r="H51" s="26" t="s">
        <v>17</v>
      </c>
      <c r="I51" s="25" t="str">
        <f>Platzierung!T17</f>
        <v>Mannschaft 2</v>
      </c>
      <c r="J51" s="25" t="str">
        <f>Platzierung!T21</f>
        <v>Mannschaft 6</v>
      </c>
      <c r="K51" s="27"/>
      <c r="L51" s="28" t="s">
        <v>0</v>
      </c>
      <c r="M51" s="27"/>
      <c r="N51" s="27"/>
      <c r="O51" s="28" t="s">
        <v>0</v>
      </c>
      <c r="P51" s="27"/>
      <c r="Q51" s="27"/>
      <c r="R51" s="28" t="s">
        <v>0</v>
      </c>
      <c r="S51" s="27"/>
      <c r="T51" s="267"/>
      <c r="U51" s="267">
        <f t="shared" si="12"/>
        <v>0</v>
      </c>
      <c r="V51" s="273" t="s">
        <v>0</v>
      </c>
      <c r="W51" s="274">
        <f t="shared" si="13"/>
        <v>0</v>
      </c>
      <c r="X51" s="275"/>
      <c r="Y51" s="267">
        <f t="shared" si="14"/>
        <v>0</v>
      </c>
      <c r="Z51" s="273" t="s">
        <v>0</v>
      </c>
      <c r="AA51" s="274">
        <f t="shared" si="15"/>
        <v>0</v>
      </c>
      <c r="AB51" s="275"/>
      <c r="AC51" s="276"/>
      <c r="AD51" s="267">
        <f t="shared" si="16"/>
        <v>0</v>
      </c>
      <c r="AE51" s="273" t="s">
        <v>0</v>
      </c>
      <c r="AF51" s="274">
        <f t="shared" si="17"/>
        <v>0</v>
      </c>
    </row>
    <row r="52" spans="1:32" ht="15.75" x14ac:dyDescent="0.25">
      <c r="A52" s="3">
        <v>32</v>
      </c>
      <c r="B52" s="239" t="str">
        <f>I46</f>
        <v>Datum eintragen</v>
      </c>
      <c r="C52" s="262">
        <f>SUM(C51+Platzierung!$U$11)</f>
        <v>0.5</v>
      </c>
      <c r="D52" s="3">
        <v>4</v>
      </c>
      <c r="E52" s="3">
        <v>1</v>
      </c>
      <c r="F52" s="3">
        <v>32</v>
      </c>
      <c r="G52" s="8" t="str">
        <f>Platzierung!T20</f>
        <v>Mannschaft 5</v>
      </c>
      <c r="H52" s="35" t="s">
        <v>17</v>
      </c>
      <c r="I52" s="8" t="str">
        <f>Platzierung!T16</f>
        <v>Mannschaft 1</v>
      </c>
      <c r="J52" s="8" t="str">
        <f>Platzierung!T22</f>
        <v>Mannschaft 7</v>
      </c>
      <c r="K52" s="48"/>
      <c r="L52" s="49" t="s">
        <v>0</v>
      </c>
      <c r="M52" s="48"/>
      <c r="N52" s="48"/>
      <c r="O52" s="49" t="s">
        <v>0</v>
      </c>
      <c r="P52" s="48"/>
      <c r="Q52" s="48"/>
      <c r="R52" s="49" t="s">
        <v>0</v>
      </c>
      <c r="S52" s="48"/>
      <c r="T52" s="268"/>
      <c r="U52" s="268">
        <f>IF(Y52&gt;0,IF(Y52&gt;AA52,"2",IF(Y52&lt;AA52,"0",1)),0)</f>
        <v>0</v>
      </c>
      <c r="V52" s="277" t="s">
        <v>0</v>
      </c>
      <c r="W52" s="278">
        <f>IF(AA52&gt;0,IF(AA52&gt;Y52,"2",IF(AA52&lt;Y52,"0",1)),0)</f>
        <v>0</v>
      </c>
      <c r="X52" s="279"/>
      <c r="Y52" s="268">
        <f>IF(K52&gt;M52,1,0)+IF(N52&gt;P52,1,0)+IF(Q52&gt;S52,1,0)</f>
        <v>0</v>
      </c>
      <c r="Z52" s="277" t="s">
        <v>0</v>
      </c>
      <c r="AA52" s="278">
        <f>IF(K52&lt;M52,1,0)+IF(N52&lt;P52,1,0)+IF(Q52&lt;S52,1,0)</f>
        <v>0</v>
      </c>
      <c r="AB52" s="279"/>
      <c r="AC52" s="280"/>
      <c r="AD52" s="268">
        <f>K52+N52+Q52</f>
        <v>0</v>
      </c>
      <c r="AE52" s="277" t="s">
        <v>0</v>
      </c>
      <c r="AF52" s="278">
        <f>M52+P52+S52</f>
        <v>0</v>
      </c>
    </row>
    <row r="53" spans="1:32" s="265" customFormat="1" ht="15.75" x14ac:dyDescent="0.25">
      <c r="A53" s="7">
        <v>33</v>
      </c>
      <c r="B53" s="238" t="str">
        <f>I46</f>
        <v>Datum eintragen</v>
      </c>
      <c r="C53" s="266">
        <f>SUM(C52+Platzierung!$U$11)</f>
        <v>0.52777777777777779</v>
      </c>
      <c r="D53" s="7">
        <v>5</v>
      </c>
      <c r="E53" s="7">
        <v>1</v>
      </c>
      <c r="F53" s="7">
        <v>33</v>
      </c>
      <c r="G53" s="25" t="str">
        <f>Platzierung!T21</f>
        <v>Mannschaft 6</v>
      </c>
      <c r="H53" s="26" t="s">
        <v>17</v>
      </c>
      <c r="I53" s="25" t="str">
        <f>Platzierung!T17</f>
        <v>Mannschaft 2</v>
      </c>
      <c r="J53" s="25" t="str">
        <f>Platzierung!T16</f>
        <v>Mannschaft 1</v>
      </c>
      <c r="K53" s="27"/>
      <c r="L53" s="28" t="s">
        <v>0</v>
      </c>
      <c r="M53" s="27"/>
      <c r="N53" s="27"/>
      <c r="O53" s="28" t="s">
        <v>0</v>
      </c>
      <c r="P53" s="27"/>
      <c r="Q53" s="27"/>
      <c r="R53" s="28" t="s">
        <v>0</v>
      </c>
      <c r="S53" s="27"/>
      <c r="T53" s="267"/>
      <c r="U53" s="267">
        <f t="shared" si="12"/>
        <v>0</v>
      </c>
      <c r="V53" s="273" t="s">
        <v>0</v>
      </c>
      <c r="W53" s="274">
        <f t="shared" si="13"/>
        <v>0</v>
      </c>
      <c r="X53" s="275"/>
      <c r="Y53" s="267">
        <f t="shared" si="14"/>
        <v>0</v>
      </c>
      <c r="Z53" s="273" t="s">
        <v>0</v>
      </c>
      <c r="AA53" s="274">
        <f t="shared" si="15"/>
        <v>0</v>
      </c>
      <c r="AB53" s="275"/>
      <c r="AC53" s="276"/>
      <c r="AD53" s="267">
        <f t="shared" si="16"/>
        <v>0</v>
      </c>
      <c r="AE53" s="273" t="s">
        <v>0</v>
      </c>
      <c r="AF53" s="274">
        <f t="shared" si="17"/>
        <v>0</v>
      </c>
    </row>
    <row r="54" spans="1:32" ht="15.75" x14ac:dyDescent="0.25">
      <c r="A54" s="3">
        <v>34</v>
      </c>
      <c r="B54" s="239" t="str">
        <f>I46</f>
        <v>Datum eintragen</v>
      </c>
      <c r="C54" s="262">
        <f>SUM(C53+Platzierung!$U$11)</f>
        <v>0.55555555555555558</v>
      </c>
      <c r="D54" s="3">
        <v>6</v>
      </c>
      <c r="E54" s="3">
        <v>2</v>
      </c>
      <c r="F54" s="3">
        <v>34</v>
      </c>
      <c r="G54" s="8" t="str">
        <f>Platzierung!T22</f>
        <v>Mannschaft 7</v>
      </c>
      <c r="H54" s="35" t="s">
        <v>17</v>
      </c>
      <c r="I54" s="8" t="str">
        <f>Platzierung!T19</f>
        <v>Mannschaft 4</v>
      </c>
      <c r="J54" s="8" t="str">
        <f>Platzierung!T17</f>
        <v>Mannschaft 2</v>
      </c>
      <c r="K54" s="48"/>
      <c r="L54" s="49" t="s">
        <v>0</v>
      </c>
      <c r="M54" s="48"/>
      <c r="N54" s="48"/>
      <c r="O54" s="49" t="s">
        <v>0</v>
      </c>
      <c r="P54" s="48"/>
      <c r="Q54" s="48"/>
      <c r="R54" s="49" t="s">
        <v>0</v>
      </c>
      <c r="S54" s="48"/>
      <c r="T54" s="268"/>
      <c r="U54" s="268">
        <f t="shared" si="12"/>
        <v>0</v>
      </c>
      <c r="V54" s="277" t="s">
        <v>0</v>
      </c>
      <c r="W54" s="278">
        <f t="shared" si="13"/>
        <v>0</v>
      </c>
      <c r="X54" s="279"/>
      <c r="Y54" s="268">
        <f t="shared" si="14"/>
        <v>0</v>
      </c>
      <c r="Z54" s="277" t="s">
        <v>0</v>
      </c>
      <c r="AA54" s="278">
        <f t="shared" si="15"/>
        <v>0</v>
      </c>
      <c r="AB54" s="279"/>
      <c r="AC54" s="280"/>
      <c r="AD54" s="268">
        <f t="shared" si="16"/>
        <v>0</v>
      </c>
      <c r="AE54" s="277" t="s">
        <v>0</v>
      </c>
      <c r="AF54" s="278">
        <f t="shared" si="17"/>
        <v>0</v>
      </c>
    </row>
    <row r="55" spans="1:32" s="265" customFormat="1" ht="15.75" x14ac:dyDescent="0.25">
      <c r="A55" s="7">
        <v>35</v>
      </c>
      <c r="B55" s="238" t="str">
        <f>I46</f>
        <v>Datum eintragen</v>
      </c>
      <c r="C55" s="266">
        <f>SUM(C54+Platzierung!$U$11)</f>
        <v>0.58333333333333337</v>
      </c>
      <c r="D55" s="7">
        <v>7</v>
      </c>
      <c r="E55" s="7">
        <v>1</v>
      </c>
      <c r="F55" s="7">
        <v>35</v>
      </c>
      <c r="G55" s="25" t="str">
        <f>Platzierung!T20</f>
        <v>Mannschaft 5</v>
      </c>
      <c r="H55" s="26" t="s">
        <v>17</v>
      </c>
      <c r="I55" s="25" t="str">
        <f>Platzierung!T18</f>
        <v>Mannschaft 3</v>
      </c>
      <c r="J55" s="25" t="str">
        <f>Platzierung!T19</f>
        <v>Mannschaft 4</v>
      </c>
      <c r="K55" s="27"/>
      <c r="L55" s="28" t="s">
        <v>0</v>
      </c>
      <c r="M55" s="27"/>
      <c r="N55" s="27"/>
      <c r="O55" s="28" t="s">
        <v>0</v>
      </c>
      <c r="P55" s="27"/>
      <c r="Q55" s="27"/>
      <c r="R55" s="28" t="s">
        <v>0</v>
      </c>
      <c r="S55" s="27"/>
      <c r="T55" s="267"/>
      <c r="U55" s="267">
        <f t="shared" si="12"/>
        <v>0</v>
      </c>
      <c r="V55" s="273" t="s">
        <v>0</v>
      </c>
      <c r="W55" s="274">
        <f t="shared" si="13"/>
        <v>0</v>
      </c>
      <c r="X55" s="275"/>
      <c r="Y55" s="267">
        <f t="shared" si="14"/>
        <v>0</v>
      </c>
      <c r="Z55" s="273" t="s">
        <v>0</v>
      </c>
      <c r="AA55" s="274">
        <f t="shared" si="15"/>
        <v>0</v>
      </c>
      <c r="AB55" s="275"/>
      <c r="AC55" s="276"/>
      <c r="AD55" s="267">
        <f t="shared" si="16"/>
        <v>0</v>
      </c>
      <c r="AE55" s="273" t="s">
        <v>0</v>
      </c>
      <c r="AF55" s="274">
        <f t="shared" si="17"/>
        <v>0</v>
      </c>
    </row>
    <row r="56" spans="1:32" ht="15.75" x14ac:dyDescent="0.25">
      <c r="A56" s="3">
        <v>36</v>
      </c>
      <c r="B56" s="239" t="str">
        <f>I46</f>
        <v>Datum eintragen</v>
      </c>
      <c r="C56" s="262">
        <f>SUM(C55+Platzierung!$U$11)</f>
        <v>0.61111111111111116</v>
      </c>
      <c r="D56" s="3">
        <v>8</v>
      </c>
      <c r="E56" s="3">
        <v>1</v>
      </c>
      <c r="F56" s="3">
        <v>36</v>
      </c>
      <c r="G56" s="8" t="str">
        <f>Platzierung!T19</f>
        <v>Mannschaft 4</v>
      </c>
      <c r="H56" s="35" t="s">
        <v>17</v>
      </c>
      <c r="I56" s="8" t="str">
        <f>Platzierung!T16</f>
        <v>Mannschaft 1</v>
      </c>
      <c r="J56" s="8" t="str">
        <f>Platzierung!T22</f>
        <v>Mannschaft 7</v>
      </c>
      <c r="K56" s="48"/>
      <c r="L56" s="49" t="s">
        <v>0</v>
      </c>
      <c r="M56" s="48"/>
      <c r="N56" s="48"/>
      <c r="O56" s="49" t="s">
        <v>0</v>
      </c>
      <c r="P56" s="48"/>
      <c r="Q56" s="48"/>
      <c r="R56" s="49" t="s">
        <v>0</v>
      </c>
      <c r="S56" s="48"/>
      <c r="T56" s="268"/>
      <c r="U56" s="268">
        <f>IF(Y56&gt;0,IF(Y56&gt;AA56,"2",IF(Y56&lt;AA56,"0",1)),0)</f>
        <v>0</v>
      </c>
      <c r="V56" s="277" t="s">
        <v>0</v>
      </c>
      <c r="W56" s="278">
        <f>IF(AA56&gt;0,IF(AA56&gt;Y56,"2",IF(AA56&lt;Y56,"0",1)),0)</f>
        <v>0</v>
      </c>
      <c r="X56" s="279"/>
      <c r="Y56" s="268">
        <f>IF(K56&gt;M56,1,0)+IF(N56&gt;P56,1,0)+IF(Q56&gt;S56,1,0)</f>
        <v>0</v>
      </c>
      <c r="Z56" s="277" t="s">
        <v>0</v>
      </c>
      <c r="AA56" s="278">
        <f>IF(K56&lt;M56,1,0)+IF(N56&lt;P56,1,0)+IF(Q56&lt;S56,1,0)</f>
        <v>0</v>
      </c>
      <c r="AB56" s="279"/>
      <c r="AC56" s="280"/>
      <c r="AD56" s="268">
        <f>K56+N56+Q56</f>
        <v>0</v>
      </c>
      <c r="AE56" s="277" t="s">
        <v>0</v>
      </c>
      <c r="AF56" s="278">
        <f>M56+P56+S56</f>
        <v>0</v>
      </c>
    </row>
    <row r="57" spans="1:32" s="265" customFormat="1" ht="15.75" x14ac:dyDescent="0.25">
      <c r="A57" s="7">
        <v>37</v>
      </c>
      <c r="B57" s="238" t="str">
        <f>I46</f>
        <v>Datum eintragen</v>
      </c>
      <c r="C57" s="266">
        <f>SUM(C56+Platzierung!$U$11)</f>
        <v>0.63888888888888895</v>
      </c>
      <c r="D57" s="7">
        <v>9</v>
      </c>
      <c r="E57" s="7">
        <v>1</v>
      </c>
      <c r="F57" s="7">
        <v>37</v>
      </c>
      <c r="G57" s="25" t="str">
        <f>Platzierung!T21</f>
        <v>Mannschaft 6</v>
      </c>
      <c r="H57" s="26" t="s">
        <v>17</v>
      </c>
      <c r="I57" s="25" t="str">
        <f>Platzierung!T18</f>
        <v>Mannschaft 3</v>
      </c>
      <c r="J57" s="25" t="str">
        <f>Platzierung!T17</f>
        <v>Mannschaft 2</v>
      </c>
      <c r="K57" s="27"/>
      <c r="L57" s="28" t="s">
        <v>0</v>
      </c>
      <c r="M57" s="27"/>
      <c r="N57" s="27"/>
      <c r="O57" s="28" t="s">
        <v>0</v>
      </c>
      <c r="P57" s="27"/>
      <c r="Q57" s="27"/>
      <c r="R57" s="28" t="s">
        <v>0</v>
      </c>
      <c r="S57" s="27"/>
      <c r="T57" s="267"/>
      <c r="U57" s="267">
        <f t="shared" si="12"/>
        <v>0</v>
      </c>
      <c r="V57" s="273" t="s">
        <v>0</v>
      </c>
      <c r="W57" s="274">
        <f t="shared" si="13"/>
        <v>0</v>
      </c>
      <c r="X57" s="275"/>
      <c r="Y57" s="267">
        <f t="shared" si="14"/>
        <v>0</v>
      </c>
      <c r="Z57" s="273" t="s">
        <v>0</v>
      </c>
      <c r="AA57" s="274">
        <f t="shared" si="15"/>
        <v>0</v>
      </c>
      <c r="AB57" s="275"/>
      <c r="AC57" s="276"/>
      <c r="AD57" s="267">
        <f t="shared" si="16"/>
        <v>0</v>
      </c>
      <c r="AE57" s="273" t="s">
        <v>0</v>
      </c>
      <c r="AF57" s="274">
        <f t="shared" si="17"/>
        <v>0</v>
      </c>
    </row>
    <row r="58" spans="1:32" ht="15.75" x14ac:dyDescent="0.25">
      <c r="A58" s="3">
        <v>38</v>
      </c>
      <c r="B58" s="239" t="str">
        <f>I46</f>
        <v>Datum eintragen</v>
      </c>
      <c r="C58" s="262">
        <f>SUM(C57+Platzierung!$U$11)</f>
        <v>0.66666666666666674</v>
      </c>
      <c r="D58" s="3">
        <v>10</v>
      </c>
      <c r="E58" s="3">
        <v>2</v>
      </c>
      <c r="F58" s="3">
        <v>38</v>
      </c>
      <c r="G58" s="8" t="str">
        <f>Platzierung!T20</f>
        <v>Mannschaft 5</v>
      </c>
      <c r="H58" s="35" t="s">
        <v>17</v>
      </c>
      <c r="I58" s="8" t="str">
        <f>Platzierung!T17</f>
        <v>Mannschaft 2</v>
      </c>
      <c r="J58" s="8" t="str">
        <f>Platzierung!T21</f>
        <v>Mannschaft 6</v>
      </c>
      <c r="K58" s="48"/>
      <c r="L58" s="49" t="s">
        <v>0</v>
      </c>
      <c r="M58" s="48"/>
      <c r="N58" s="48"/>
      <c r="O58" s="49" t="s">
        <v>0</v>
      </c>
      <c r="P58" s="48"/>
      <c r="Q58" s="48"/>
      <c r="R58" s="49" t="s">
        <v>0</v>
      </c>
      <c r="S58" s="48"/>
      <c r="T58" s="268"/>
      <c r="U58" s="268">
        <f t="shared" si="12"/>
        <v>0</v>
      </c>
      <c r="V58" s="277" t="s">
        <v>0</v>
      </c>
      <c r="W58" s="278">
        <f t="shared" si="13"/>
        <v>0</v>
      </c>
      <c r="X58" s="279"/>
      <c r="Y58" s="268">
        <f t="shared" si="14"/>
        <v>0</v>
      </c>
      <c r="Z58" s="277" t="s">
        <v>0</v>
      </c>
      <c r="AA58" s="278">
        <f t="shared" si="15"/>
        <v>0</v>
      </c>
      <c r="AB58" s="279"/>
      <c r="AC58" s="280"/>
      <c r="AD58" s="268">
        <f t="shared" si="16"/>
        <v>0</v>
      </c>
      <c r="AE58" s="277" t="s">
        <v>0</v>
      </c>
      <c r="AF58" s="278">
        <f t="shared" si="17"/>
        <v>0</v>
      </c>
    </row>
    <row r="59" spans="1:32" s="265" customFormat="1" ht="15.75" x14ac:dyDescent="0.25">
      <c r="A59" s="7">
        <v>39</v>
      </c>
      <c r="B59" s="238" t="str">
        <f>I46</f>
        <v>Datum eintragen</v>
      </c>
      <c r="C59" s="266">
        <f>SUM(C58+Platzierung!$U$11)</f>
        <v>0.69444444444444453</v>
      </c>
      <c r="D59" s="7">
        <v>11</v>
      </c>
      <c r="E59" s="7">
        <v>1</v>
      </c>
      <c r="F59" s="7">
        <v>39</v>
      </c>
      <c r="G59" s="25" t="str">
        <f>Platzierung!T22</f>
        <v>Mannschaft 7</v>
      </c>
      <c r="H59" s="26" t="s">
        <v>17</v>
      </c>
      <c r="I59" s="25" t="str">
        <f>Platzierung!T18</f>
        <v>Mannschaft 3</v>
      </c>
      <c r="J59" s="25" t="str">
        <f>Platzierung!T20</f>
        <v>Mannschaft 5</v>
      </c>
      <c r="K59" s="27"/>
      <c r="L59" s="28" t="s">
        <v>0</v>
      </c>
      <c r="M59" s="27"/>
      <c r="N59" s="27"/>
      <c r="O59" s="28" t="s">
        <v>0</v>
      </c>
      <c r="P59" s="27"/>
      <c r="Q59" s="27"/>
      <c r="R59" s="28" t="s">
        <v>0</v>
      </c>
      <c r="S59" s="27"/>
      <c r="T59" s="267"/>
      <c r="U59" s="267">
        <f t="shared" si="12"/>
        <v>0</v>
      </c>
      <c r="V59" s="273" t="s">
        <v>0</v>
      </c>
      <c r="W59" s="274">
        <f t="shared" si="13"/>
        <v>0</v>
      </c>
      <c r="X59" s="275"/>
      <c r="Y59" s="267">
        <f t="shared" si="14"/>
        <v>0</v>
      </c>
      <c r="Z59" s="273" t="s">
        <v>0</v>
      </c>
      <c r="AA59" s="274">
        <f t="shared" si="15"/>
        <v>0</v>
      </c>
      <c r="AB59" s="275"/>
      <c r="AC59" s="276"/>
      <c r="AD59" s="267">
        <f t="shared" si="16"/>
        <v>0</v>
      </c>
      <c r="AE59" s="273" t="s">
        <v>0</v>
      </c>
      <c r="AF59" s="274">
        <f t="shared" si="17"/>
        <v>0</v>
      </c>
    </row>
    <row r="60" spans="1:32" ht="15.75" x14ac:dyDescent="0.25">
      <c r="A60" s="3">
        <v>40</v>
      </c>
      <c r="B60" s="239" t="str">
        <f>I46</f>
        <v>Datum eintragen</v>
      </c>
      <c r="C60" s="262">
        <f>SUM(C59+Platzierung!$U$11)</f>
        <v>0.72222222222222232</v>
      </c>
      <c r="D60" s="3">
        <v>12</v>
      </c>
      <c r="E60" s="3">
        <v>2</v>
      </c>
      <c r="F60" s="3">
        <v>40</v>
      </c>
      <c r="G60" s="8" t="str">
        <f>Platzierung!T19</f>
        <v>Mannschaft 4</v>
      </c>
      <c r="H60" s="35" t="s">
        <v>17</v>
      </c>
      <c r="I60" s="8" t="str">
        <f>Platzierung!T17</f>
        <v>Mannschaft 2</v>
      </c>
      <c r="J60" s="8" t="str">
        <f>Platzierung!T18</f>
        <v>Mannschaft 3</v>
      </c>
      <c r="K60" s="48"/>
      <c r="L60" s="49" t="s">
        <v>0</v>
      </c>
      <c r="M60" s="48"/>
      <c r="N60" s="48"/>
      <c r="O60" s="49" t="s">
        <v>0</v>
      </c>
      <c r="P60" s="48"/>
      <c r="Q60" s="48"/>
      <c r="R60" s="49" t="s">
        <v>0</v>
      </c>
      <c r="S60" s="48"/>
      <c r="T60" s="268"/>
      <c r="U60" s="268">
        <f>IF(Y60&gt;0,IF(Y60&gt;AA60,"2",IF(Y60&lt;AA60,"0",1)),0)</f>
        <v>0</v>
      </c>
      <c r="V60" s="277" t="s">
        <v>0</v>
      </c>
      <c r="W60" s="278">
        <f>IF(AA60&gt;0,IF(AA60&gt;Y60,"2",IF(AA60&lt;Y60,"0",1)),0)</f>
        <v>0</v>
      </c>
      <c r="X60" s="279"/>
      <c r="Y60" s="268">
        <f>IF(K60&gt;M60,1,0)+IF(N60&gt;P60,1,0)+IF(Q60&gt;S60,1,0)</f>
        <v>0</v>
      </c>
      <c r="Z60" s="277" t="s">
        <v>0</v>
      </c>
      <c r="AA60" s="278">
        <f>IF(K60&lt;M60,1,0)+IF(N60&lt;P60,1,0)+IF(Q60&lt;S60,1,0)</f>
        <v>0</v>
      </c>
      <c r="AB60" s="279"/>
      <c r="AC60" s="280"/>
      <c r="AD60" s="268">
        <f>K60+N60+Q60</f>
        <v>0</v>
      </c>
      <c r="AE60" s="277" t="s">
        <v>0</v>
      </c>
      <c r="AF60" s="278">
        <f>M60+P60+S60</f>
        <v>0</v>
      </c>
    </row>
    <row r="61" spans="1:32" s="265" customFormat="1" ht="15.75" x14ac:dyDescent="0.25">
      <c r="A61" s="7">
        <v>41</v>
      </c>
      <c r="B61" s="238" t="str">
        <f>I46</f>
        <v>Datum eintragen</v>
      </c>
      <c r="C61" s="266">
        <f>SUM(C60+Platzierung!$U$11)</f>
        <v>0.75000000000000011</v>
      </c>
      <c r="D61" s="7">
        <v>13</v>
      </c>
      <c r="E61" s="7">
        <v>1</v>
      </c>
      <c r="F61" s="7">
        <v>41</v>
      </c>
      <c r="G61" s="25" t="str">
        <f>Platzierung!T18</f>
        <v>Mannschaft 3</v>
      </c>
      <c r="H61" s="26" t="s">
        <v>17</v>
      </c>
      <c r="I61" s="25" t="str">
        <f>Platzierung!T16</f>
        <v>Mannschaft 1</v>
      </c>
      <c r="J61" s="25" t="str">
        <f>Platzierung!T19</f>
        <v>Mannschaft 4</v>
      </c>
      <c r="K61" s="27"/>
      <c r="L61" s="28" t="s">
        <v>0</v>
      </c>
      <c r="M61" s="27"/>
      <c r="N61" s="27"/>
      <c r="O61" s="28" t="s">
        <v>0</v>
      </c>
      <c r="P61" s="27"/>
      <c r="Q61" s="27"/>
      <c r="R61" s="28" t="s">
        <v>0</v>
      </c>
      <c r="S61" s="27"/>
      <c r="T61" s="267"/>
      <c r="U61" s="267">
        <f>IF(Y61&gt;0,IF(Y61&gt;AA61,"2",IF(Y61&lt;AA61,"0",1)),0)</f>
        <v>0</v>
      </c>
      <c r="V61" s="273" t="s">
        <v>0</v>
      </c>
      <c r="W61" s="274">
        <f>IF(AA61&gt;0,IF(AA61&gt;Y61,"2",IF(AA61&lt;Y61,"0",1)),0)</f>
        <v>0</v>
      </c>
      <c r="X61" s="275"/>
      <c r="Y61" s="267">
        <f>IF(K61&gt;M61,1,0)+IF(N61&gt;P61,1,0)+IF(Q61&gt;S61,1,0)</f>
        <v>0</v>
      </c>
      <c r="Z61" s="273" t="s">
        <v>0</v>
      </c>
      <c r="AA61" s="274">
        <f>IF(K61&lt;M61,1,0)+IF(N61&lt;P61,1,0)+IF(Q61&lt;S61,1,0)</f>
        <v>0</v>
      </c>
      <c r="AB61" s="275"/>
      <c r="AC61" s="276"/>
      <c r="AD61" s="267">
        <f>K61+N61+Q61</f>
        <v>0</v>
      </c>
      <c r="AE61" s="273" t="s">
        <v>0</v>
      </c>
      <c r="AF61" s="274">
        <f>M61+P61+S61</f>
        <v>0</v>
      </c>
    </row>
    <row r="62" spans="1:32" ht="15.75" x14ac:dyDescent="0.25">
      <c r="A62" s="3">
        <v>42</v>
      </c>
      <c r="B62" s="239" t="str">
        <f>I46</f>
        <v>Datum eintragen</v>
      </c>
      <c r="C62" s="262">
        <f>SUM(C61+Platzierung!$U$11)</f>
        <v>0.7777777777777779</v>
      </c>
      <c r="D62" s="3">
        <v>14</v>
      </c>
      <c r="E62" s="3">
        <v>1</v>
      </c>
      <c r="F62" s="3">
        <v>42</v>
      </c>
      <c r="G62" s="8" t="str">
        <f>Platzierung!T21</f>
        <v>Mannschaft 6</v>
      </c>
      <c r="H62" s="35" t="s">
        <v>17</v>
      </c>
      <c r="I62" s="8" t="str">
        <f>Platzierung!T19</f>
        <v>Mannschaft 4</v>
      </c>
      <c r="J62" s="8" t="str">
        <f>Platzierung!T18</f>
        <v>Mannschaft 3</v>
      </c>
      <c r="K62" s="48"/>
      <c r="L62" s="49" t="s">
        <v>0</v>
      </c>
      <c r="M62" s="48"/>
      <c r="N62" s="48"/>
      <c r="O62" s="49" t="s">
        <v>0</v>
      </c>
      <c r="P62" s="48"/>
      <c r="Q62" s="48"/>
      <c r="R62" s="49" t="s">
        <v>0</v>
      </c>
      <c r="S62" s="48"/>
      <c r="T62" s="268"/>
      <c r="U62" s="268">
        <f>IF(Y62&gt;0,IF(Y62&gt;AA62,"2",IF(Y62&lt;AA62,"0",1)),0)</f>
        <v>0</v>
      </c>
      <c r="V62" s="277" t="s">
        <v>0</v>
      </c>
      <c r="W62" s="278">
        <f>IF(AA62&gt;0,IF(AA62&gt;Y62,"2",IF(AA62&lt;Y62,"0",1)),0)</f>
        <v>0</v>
      </c>
      <c r="X62" s="279"/>
      <c r="Y62" s="268">
        <f>IF(K62&gt;M62,1,0)+IF(N62&gt;P62,1,0)+IF(Q62&gt;S62,1,0)</f>
        <v>0</v>
      </c>
      <c r="Z62" s="277" t="s">
        <v>0</v>
      </c>
      <c r="AA62" s="278">
        <f>IF(K62&lt;M62,1,0)+IF(N62&lt;P62,1,0)+IF(Q62&lt;S62,1,0)</f>
        <v>0</v>
      </c>
      <c r="AB62" s="279"/>
      <c r="AC62" s="280"/>
      <c r="AD62" s="268">
        <f>K62+N62+Q62</f>
        <v>0</v>
      </c>
      <c r="AE62" s="277" t="s">
        <v>0</v>
      </c>
      <c r="AF62" s="278">
        <f>M62+P62+S62</f>
        <v>0</v>
      </c>
    </row>
    <row r="63" spans="1:32" ht="15.75" hidden="1" x14ac:dyDescent="0.25">
      <c r="A63" s="3"/>
      <c r="B63" s="239"/>
      <c r="C63" s="50"/>
      <c r="D63" s="51"/>
      <c r="E63" s="3"/>
      <c r="F63" s="3"/>
      <c r="G63" s="8"/>
      <c r="H63" s="35"/>
      <c r="I63" s="8"/>
      <c r="J63" s="8"/>
      <c r="K63" s="48"/>
      <c r="L63" s="49"/>
      <c r="M63" s="48"/>
      <c r="N63" s="48"/>
      <c r="O63" s="49"/>
      <c r="P63" s="48"/>
      <c r="Q63" s="48"/>
      <c r="R63" s="49"/>
      <c r="S63" s="48"/>
      <c r="T63" s="45"/>
      <c r="U63" s="270"/>
      <c r="V63" s="271"/>
      <c r="W63" s="270"/>
      <c r="X63" s="270"/>
      <c r="Y63" s="270"/>
      <c r="Z63" s="271"/>
      <c r="AA63" s="270"/>
      <c r="AB63" s="270"/>
      <c r="AC63" s="272"/>
      <c r="AD63" s="270"/>
      <c r="AE63" s="271"/>
      <c r="AF63" s="270"/>
    </row>
    <row r="64" spans="1:32" ht="15.75" hidden="1" x14ac:dyDescent="0.25">
      <c r="A64" s="3"/>
      <c r="B64" s="239"/>
      <c r="C64" s="50"/>
      <c r="D64" s="243"/>
      <c r="E64" s="3"/>
      <c r="F64" s="3"/>
      <c r="G64" s="8"/>
      <c r="H64" s="35"/>
      <c r="I64" s="8"/>
      <c r="J64" s="8"/>
      <c r="K64" s="48"/>
      <c r="L64" s="49"/>
      <c r="M64" s="48"/>
      <c r="N64" s="48"/>
      <c r="O64" s="49"/>
      <c r="P64" s="48"/>
      <c r="Q64" s="48"/>
      <c r="R64" s="49"/>
      <c r="S64" s="48"/>
      <c r="T64" s="45"/>
      <c r="U64" s="45"/>
      <c r="V64" s="49"/>
      <c r="W64" s="45"/>
      <c r="X64" s="45"/>
      <c r="Y64" s="45"/>
      <c r="Z64" s="49"/>
      <c r="AA64" s="45"/>
      <c r="AB64" s="45"/>
      <c r="AC64" s="115"/>
      <c r="AD64" s="45"/>
      <c r="AE64" s="49"/>
      <c r="AF64" s="45"/>
    </row>
    <row r="65" spans="1:32" ht="15.75" hidden="1" x14ac:dyDescent="0.25">
      <c r="A65" s="3"/>
      <c r="B65" s="239"/>
      <c r="C65" s="50"/>
      <c r="D65" s="51"/>
      <c r="E65" s="3"/>
      <c r="F65" s="3"/>
      <c r="G65" s="8"/>
      <c r="H65" s="35"/>
      <c r="I65" s="8"/>
      <c r="J65" s="8"/>
      <c r="K65" s="48"/>
      <c r="L65" s="49"/>
      <c r="M65" s="48"/>
      <c r="N65" s="48"/>
      <c r="O65" s="49"/>
      <c r="P65" s="48"/>
      <c r="Q65" s="48"/>
      <c r="R65" s="49"/>
      <c r="S65" s="48"/>
      <c r="T65" s="45"/>
      <c r="U65" s="45"/>
      <c r="V65" s="49"/>
      <c r="W65" s="45"/>
      <c r="X65" s="45"/>
      <c r="Y65" s="45"/>
      <c r="Z65" s="49"/>
      <c r="AA65" s="45"/>
      <c r="AB65" s="45"/>
      <c r="AC65" s="115"/>
      <c r="AD65" s="45"/>
      <c r="AE65" s="49"/>
      <c r="AF65" s="45"/>
    </row>
    <row r="66" spans="1:32" hidden="1" x14ac:dyDescent="0.2">
      <c r="A66" s="3"/>
      <c r="B66" s="239"/>
      <c r="C66" s="316">
        <f>C65</f>
        <v>0</v>
      </c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8"/>
    </row>
    <row r="67" spans="1:32" x14ac:dyDescent="0.2">
      <c r="A67" s="6"/>
      <c r="B67" s="240"/>
      <c r="T67" s="42"/>
      <c r="U67" s="42"/>
      <c r="V67" s="42"/>
      <c r="W67" s="42"/>
      <c r="AC67" s="116"/>
    </row>
    <row r="68" spans="1:32" x14ac:dyDescent="0.2">
      <c r="T68" s="42"/>
      <c r="U68" s="42"/>
      <c r="V68" s="42"/>
      <c r="W68" s="42"/>
      <c r="AC68" s="4"/>
      <c r="AD68" s="5"/>
      <c r="AE68" s="5"/>
      <c r="AF68" s="5"/>
    </row>
  </sheetData>
  <sheetProtection selectLockedCells="1"/>
  <mergeCells count="23">
    <mergeCell ref="C66:AF66"/>
    <mergeCell ref="C24:AF24"/>
    <mergeCell ref="Q28:S28"/>
    <mergeCell ref="K48:M48"/>
    <mergeCell ref="N48:P48"/>
    <mergeCell ref="Q48:S48"/>
    <mergeCell ref="AD6:AF6"/>
    <mergeCell ref="Y6:AA6"/>
    <mergeCell ref="U48:W48"/>
    <mergeCell ref="Y48:AA48"/>
    <mergeCell ref="AD48:AF48"/>
    <mergeCell ref="Y28:AA28"/>
    <mergeCell ref="AD28:AF28"/>
    <mergeCell ref="F1:V1"/>
    <mergeCell ref="K28:M28"/>
    <mergeCell ref="N28:P28"/>
    <mergeCell ref="U28:W28"/>
    <mergeCell ref="F2:V2"/>
    <mergeCell ref="F3:V3"/>
    <mergeCell ref="K6:M6"/>
    <mergeCell ref="N6:P6"/>
    <mergeCell ref="Q6:S6"/>
    <mergeCell ref="U6:W6"/>
  </mergeCells>
  <phoneticPr fontId="0" type="noConversion"/>
  <conditionalFormatting sqref="U7 W7:Y7 AA7:AD7 AF7">
    <cfRule type="expression" dxfId="41" priority="1" stopIfTrue="1">
      <formula>$K$7+$M$7=0</formula>
    </cfRule>
  </conditionalFormatting>
  <conditionalFormatting sqref="U8 W8:Y8 AA8:AD8 AF8">
    <cfRule type="expression" dxfId="40" priority="2" stopIfTrue="1">
      <formula>$K$8+$M$8=0</formula>
    </cfRule>
  </conditionalFormatting>
  <conditionalFormatting sqref="U9 W9:Y9 AA9:AD9 AF9">
    <cfRule type="expression" dxfId="39" priority="3" stopIfTrue="1">
      <formula>$K$9+$M$9=0</formula>
    </cfRule>
  </conditionalFormatting>
  <conditionalFormatting sqref="U10 W10:Y10 AA10:AD10 AF10">
    <cfRule type="expression" dxfId="38" priority="4" stopIfTrue="1">
      <formula>$K$10+$M$10=0</formula>
    </cfRule>
  </conditionalFormatting>
  <conditionalFormatting sqref="U11 W11:Y11 AA11:AD11 AF11">
    <cfRule type="expression" dxfId="37" priority="5" stopIfTrue="1">
      <formula>$K$11+$M$11=0</formula>
    </cfRule>
  </conditionalFormatting>
  <conditionalFormatting sqref="U12 W12:Y12 AA12:AD12 AF12">
    <cfRule type="expression" dxfId="36" priority="6" stopIfTrue="1">
      <formula>$K$12+$M$12=0</formula>
    </cfRule>
  </conditionalFormatting>
  <conditionalFormatting sqref="U13 W13:Y13 AA13:AD13 AF13">
    <cfRule type="expression" dxfId="35" priority="7" stopIfTrue="1">
      <formula>$K$13+$M$13=0</formula>
    </cfRule>
  </conditionalFormatting>
  <conditionalFormatting sqref="U14 W14:Y14 AA14:AD14 AF14">
    <cfRule type="expression" dxfId="34" priority="8" stopIfTrue="1">
      <formula>$K$14+$M$14=0</formula>
    </cfRule>
  </conditionalFormatting>
  <conditionalFormatting sqref="U15 W15:Y15 AA15:AD15 AF15">
    <cfRule type="expression" dxfId="33" priority="9" stopIfTrue="1">
      <formula>$K$15+$M$15=0</formula>
    </cfRule>
  </conditionalFormatting>
  <conditionalFormatting sqref="U16 W16:Y16 AA16:AD16 AF16">
    <cfRule type="expression" dxfId="32" priority="10" stopIfTrue="1">
      <formula>$K$16+$M$16=0</formula>
    </cfRule>
  </conditionalFormatting>
  <conditionalFormatting sqref="U17 W17:Y17 AA17:AD17 AF17">
    <cfRule type="expression" dxfId="31" priority="11" stopIfTrue="1">
      <formula>$K$17+$M$17=0</formula>
    </cfRule>
  </conditionalFormatting>
  <conditionalFormatting sqref="U18 W18:Y18 AA18:AD18 AF18">
    <cfRule type="expression" dxfId="30" priority="12" stopIfTrue="1">
      <formula>$K$18+$M$18=0</formula>
    </cfRule>
  </conditionalFormatting>
  <conditionalFormatting sqref="U19 W19:Y19 AA19:AD19 AF19">
    <cfRule type="expression" dxfId="29" priority="13" stopIfTrue="1">
      <formula>$K$19+$M$19=0</formula>
    </cfRule>
  </conditionalFormatting>
  <conditionalFormatting sqref="U20 W20:Y20 AA20:AD20 AF20">
    <cfRule type="expression" dxfId="28" priority="14" stopIfTrue="1">
      <formula>$K$20+$M$20=0</formula>
    </cfRule>
  </conditionalFormatting>
  <conditionalFormatting sqref="AF29 AA29:AD29 U29 W29:Y29">
    <cfRule type="expression" dxfId="27" priority="15" stopIfTrue="1">
      <formula>$K$29+$M$29=0</formula>
    </cfRule>
  </conditionalFormatting>
  <conditionalFormatting sqref="AF30 AA30:AD30 U30 W30:Y30">
    <cfRule type="expression" dxfId="26" priority="16" stopIfTrue="1">
      <formula>$K$30+$M$30=0</formula>
    </cfRule>
  </conditionalFormatting>
  <conditionalFormatting sqref="AF31 AA31:AD31 U31 W31:Y31">
    <cfRule type="expression" dxfId="25" priority="17" stopIfTrue="1">
      <formula>$K$31+$M$31=0</formula>
    </cfRule>
  </conditionalFormatting>
  <conditionalFormatting sqref="AF32 AA32:AD32 U32 W32:Y32">
    <cfRule type="expression" dxfId="24" priority="18" stopIfTrue="1">
      <formula>$K$32+$M$32=0</formula>
    </cfRule>
  </conditionalFormatting>
  <conditionalFormatting sqref="AF33 AA33:AD33 U33 W33:Y33">
    <cfRule type="expression" dxfId="23" priority="19" stopIfTrue="1">
      <formula>$K$33+$M$33=0</formula>
    </cfRule>
  </conditionalFormatting>
  <conditionalFormatting sqref="AF34 AA34:AD34 U34 W34:Y34">
    <cfRule type="expression" dxfId="22" priority="20" stopIfTrue="1">
      <formula>$K$34+$M$34=0</formula>
    </cfRule>
  </conditionalFormatting>
  <conditionalFormatting sqref="AF35 AA35:AD35 U35 W35:Y35">
    <cfRule type="expression" dxfId="21" priority="21" stopIfTrue="1">
      <formula>$K$35+$M$35=0</formula>
    </cfRule>
  </conditionalFormatting>
  <conditionalFormatting sqref="AF36 AA36:AD36 U36 W36:Y36">
    <cfRule type="expression" dxfId="20" priority="22" stopIfTrue="1">
      <formula>$K$36+$M$36=0</formula>
    </cfRule>
  </conditionalFormatting>
  <conditionalFormatting sqref="AF37 AA37:AD37 U37 W37:Y37">
    <cfRule type="expression" dxfId="19" priority="23" stopIfTrue="1">
      <formula>$K$37+$M$37=0</formula>
    </cfRule>
  </conditionalFormatting>
  <conditionalFormatting sqref="AF38 AA38:AD38 U38 W38:Y38">
    <cfRule type="expression" dxfId="18" priority="24" stopIfTrue="1">
      <formula>$K$38+$M$38=0</formula>
    </cfRule>
  </conditionalFormatting>
  <conditionalFormatting sqref="AF39 AA39:AD39 U39 W39:Y39">
    <cfRule type="expression" dxfId="17" priority="25" stopIfTrue="1">
      <formula>$K$39+$M$39=0</formula>
    </cfRule>
  </conditionalFormatting>
  <conditionalFormatting sqref="AF40 AA40:AD40 U40 W40:Y40">
    <cfRule type="expression" dxfId="16" priority="26" stopIfTrue="1">
      <formula>$K$40+$M$40=0</formula>
    </cfRule>
  </conditionalFormatting>
  <conditionalFormatting sqref="AF41 AA41:AD41 U41 W41:Y41">
    <cfRule type="expression" dxfId="15" priority="27" stopIfTrue="1">
      <formula>$K$41+$M$41=0</formula>
    </cfRule>
  </conditionalFormatting>
  <conditionalFormatting sqref="AF42 AA42:AD42 U42 W42:Y42">
    <cfRule type="expression" dxfId="14" priority="28" stopIfTrue="1">
      <formula>$K$42+$M$42=0</formula>
    </cfRule>
  </conditionalFormatting>
  <conditionalFormatting sqref="U49 W49:Y49 AA49:AD49 AF49">
    <cfRule type="expression" dxfId="13" priority="29" stopIfTrue="1">
      <formula>$K$49+$M$49=0</formula>
    </cfRule>
  </conditionalFormatting>
  <conditionalFormatting sqref="U50 W50:Y50 AA50:AD50 AF50">
    <cfRule type="expression" dxfId="12" priority="30" stopIfTrue="1">
      <formula>$K$50+$M$50=0</formula>
    </cfRule>
  </conditionalFormatting>
  <conditionalFormatting sqref="U51 W51:Y51 AA51:AD51 AF51">
    <cfRule type="expression" dxfId="11" priority="31" stopIfTrue="1">
      <formula>$K$51+$M$51=0</formula>
    </cfRule>
  </conditionalFormatting>
  <conditionalFormatting sqref="U52 W52:Y52 AA52:AD52 AF52">
    <cfRule type="expression" dxfId="10" priority="32" stopIfTrue="1">
      <formula>$K$52+$M$52=0</formula>
    </cfRule>
  </conditionalFormatting>
  <conditionalFormatting sqref="U53 W53:Y53 AA53:AD53 AF53">
    <cfRule type="expression" dxfId="9" priority="33" stopIfTrue="1">
      <formula>$K$53+$M$53=0</formula>
    </cfRule>
  </conditionalFormatting>
  <conditionalFormatting sqref="U54 W54:Y54 AA54:AD54 AF54">
    <cfRule type="expression" dxfId="8" priority="34" stopIfTrue="1">
      <formula>$K$54+$M$54=0</formula>
    </cfRule>
  </conditionalFormatting>
  <conditionalFormatting sqref="U55 W55:Y55 AA55:AD55 AF55">
    <cfRule type="expression" dxfId="7" priority="35" stopIfTrue="1">
      <formula>$K$55+$M$55=0</formula>
    </cfRule>
  </conditionalFormatting>
  <conditionalFormatting sqref="U56 W56:Y56 AA56:AD56 AF56">
    <cfRule type="expression" dxfId="6" priority="36" stopIfTrue="1">
      <formula>$K$56+$M$56=0</formula>
    </cfRule>
  </conditionalFormatting>
  <conditionalFormatting sqref="U57 W57:Y57 AA57:AD57 AF57">
    <cfRule type="expression" dxfId="5" priority="37" stopIfTrue="1">
      <formula>$K$57+$M$57=0</formula>
    </cfRule>
  </conditionalFormatting>
  <conditionalFormatting sqref="U58 W58:Y58 AA58:AD58 AF58">
    <cfRule type="expression" dxfId="4" priority="38" stopIfTrue="1">
      <formula>$K$58+$M$58=0</formula>
    </cfRule>
  </conditionalFormatting>
  <conditionalFormatting sqref="U59 W59:Y59 AA59:AD59 AF59">
    <cfRule type="expression" dxfId="3" priority="39" stopIfTrue="1">
      <formula>$K$59+$M$59=0</formula>
    </cfRule>
  </conditionalFormatting>
  <conditionalFormatting sqref="U60 W60:Y60 AA60:AD60 AF60">
    <cfRule type="expression" dxfId="2" priority="40" stopIfTrue="1">
      <formula>$K$60+$M$60=0</formula>
    </cfRule>
  </conditionalFormatting>
  <conditionalFormatting sqref="U61 W61:Y61 AA61:AD61 AF61">
    <cfRule type="expression" dxfId="1" priority="41" stopIfTrue="1">
      <formula>$K$61+$M$61=0</formula>
    </cfRule>
  </conditionalFormatting>
  <conditionalFormatting sqref="U62 W62:Y62 AA62:AD62 AF62">
    <cfRule type="expression" dxfId="0" priority="42" stopIfTrue="1">
      <formula>$K$62+$M$62=0</formula>
    </cfRule>
  </conditionalFormatting>
  <pageMargins left="0.98425196850393704" right="0.39370078740157483" top="0.78740157480314965" bottom="0.39370078740157483" header="0.51181102362204722" footer="0.51181102362204722"/>
  <pageSetup paperSize="9" scale="79" fitToHeight="0" orientation="landscape" horizontalDpi="4294967295" r:id="rId1"/>
  <headerFooter alignWithMargins="0"/>
  <rowBreaks count="2" manualBreakCount="2">
    <brk id="25" min="2" max="31" man="1"/>
    <brk id="45" min="2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7"/>
  <sheetViews>
    <sheetView workbookViewId="0">
      <selection activeCell="A4" sqref="A4:K4"/>
    </sheetView>
  </sheetViews>
  <sheetFormatPr baseColWidth="10" defaultRowHeight="14.25" x14ac:dyDescent="0.2"/>
  <cols>
    <col min="1" max="1" width="4" style="136" customWidth="1"/>
    <col min="2" max="2" width="2.5703125" style="136" customWidth="1"/>
    <col min="3" max="3" width="12.42578125" style="136" customWidth="1"/>
    <col min="4" max="4" width="10.42578125" style="136" bestFit="1" customWidth="1"/>
    <col min="5" max="8" width="8.7109375" style="136" customWidth="1"/>
    <col min="9" max="10" width="9.28515625" style="136" bestFit="1" customWidth="1"/>
    <col min="11" max="11" width="16" style="136" customWidth="1"/>
    <col min="12" max="16384" width="11.42578125" style="136"/>
  </cols>
  <sheetData>
    <row r="1" spans="1:11" s="135" customFormat="1" ht="23.25" x14ac:dyDescent="0.35">
      <c r="D1" s="348" t="s">
        <v>75</v>
      </c>
      <c r="E1" s="293"/>
      <c r="F1" s="293"/>
      <c r="G1" s="293"/>
      <c r="H1" s="293"/>
      <c r="I1" s="293"/>
      <c r="J1" s="293"/>
    </row>
    <row r="2" spans="1:11" s="135" customFormat="1" ht="23.25" x14ac:dyDescent="0.35">
      <c r="D2" s="343" t="str">
        <f>Platzierung!U6</f>
        <v>Saisonbezeichnung</v>
      </c>
      <c r="E2" s="343"/>
      <c r="F2" s="343"/>
      <c r="G2" s="343"/>
      <c r="H2" s="343"/>
      <c r="I2" s="343"/>
      <c r="J2" s="343"/>
    </row>
    <row r="3" spans="1:11" s="135" customFormat="1" ht="23.25" x14ac:dyDescent="0.35"/>
    <row r="4" spans="1:11" s="135" customFormat="1" ht="23.25" x14ac:dyDescent="0.35">
      <c r="A4" s="346" t="s">
        <v>76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</row>
    <row r="5" spans="1:11" ht="15" thickBot="1" x14ac:dyDescent="0.25"/>
    <row r="6" spans="1:11" s="140" customFormat="1" ht="15" x14ac:dyDescent="0.25">
      <c r="A6" s="137" t="s">
        <v>96</v>
      </c>
      <c r="B6" s="138"/>
      <c r="C6" s="138"/>
      <c r="D6" s="138"/>
      <c r="E6" s="138"/>
      <c r="F6" s="138"/>
      <c r="G6" s="138"/>
      <c r="H6" s="138"/>
      <c r="I6" s="138"/>
      <c r="J6" s="138"/>
      <c r="K6" s="139"/>
    </row>
    <row r="7" spans="1:11" ht="15.75" thickBot="1" x14ac:dyDescent="0.3">
      <c r="A7" s="333" t="s">
        <v>77</v>
      </c>
      <c r="B7" s="334"/>
      <c r="C7" s="334"/>
      <c r="D7" s="334"/>
      <c r="E7" s="334"/>
      <c r="F7" s="334"/>
      <c r="G7" s="334"/>
      <c r="H7" s="334"/>
      <c r="I7" s="334"/>
      <c r="J7" s="334"/>
      <c r="K7" s="134"/>
    </row>
    <row r="8" spans="1:11" ht="15" x14ac:dyDescent="0.25">
      <c r="A8" s="141"/>
      <c r="B8" s="142"/>
      <c r="C8" s="143"/>
      <c r="D8" s="144"/>
      <c r="E8" s="344" t="s">
        <v>78</v>
      </c>
      <c r="F8" s="349"/>
      <c r="G8" s="349"/>
      <c r="H8" s="350"/>
      <c r="I8" s="344" t="s">
        <v>79</v>
      </c>
      <c r="J8" s="345"/>
      <c r="K8" s="145"/>
    </row>
    <row r="9" spans="1:11" ht="23.25" customHeight="1" x14ac:dyDescent="0.25">
      <c r="A9" s="146"/>
      <c r="B9" s="147"/>
      <c r="C9" s="148"/>
      <c r="D9" s="149" t="s">
        <v>80</v>
      </c>
      <c r="E9" s="327" t="s">
        <v>81</v>
      </c>
      <c r="F9" s="328"/>
      <c r="G9" s="328"/>
      <c r="H9" s="329"/>
      <c r="I9" s="180" t="str">
        <f>Platzierung!U7</f>
        <v>C / B</v>
      </c>
      <c r="J9" s="179" t="s">
        <v>103</v>
      </c>
      <c r="K9" s="150"/>
    </row>
    <row r="10" spans="1:11" ht="15" customHeight="1" x14ac:dyDescent="0.25">
      <c r="A10" s="151"/>
      <c r="B10" s="152"/>
      <c r="C10" s="153"/>
      <c r="D10" s="154"/>
      <c r="E10" s="155"/>
      <c r="F10" s="156" t="s">
        <v>82</v>
      </c>
      <c r="G10" s="156"/>
      <c r="H10" s="154"/>
      <c r="I10" s="157"/>
      <c r="J10" s="154"/>
      <c r="K10" s="158"/>
    </row>
    <row r="11" spans="1:11" ht="15" customHeight="1" x14ac:dyDescent="0.25">
      <c r="A11" s="151"/>
      <c r="B11" s="152"/>
      <c r="C11" s="153"/>
      <c r="D11" s="154" t="s">
        <v>83</v>
      </c>
      <c r="E11" s="155" t="s">
        <v>84</v>
      </c>
      <c r="F11" s="156" t="s">
        <v>84</v>
      </c>
      <c r="G11" s="156" t="s">
        <v>85</v>
      </c>
      <c r="H11" s="159" t="s">
        <v>86</v>
      </c>
      <c r="I11" s="155"/>
      <c r="J11" s="154" t="s">
        <v>82</v>
      </c>
      <c r="K11" s="158" t="s">
        <v>87</v>
      </c>
    </row>
    <row r="12" spans="1:11" ht="15" customHeight="1" x14ac:dyDescent="0.2">
      <c r="A12" s="356" t="s">
        <v>88</v>
      </c>
      <c r="B12" s="357"/>
      <c r="C12" s="358"/>
      <c r="D12" s="160" t="s">
        <v>89</v>
      </c>
      <c r="E12" s="161" t="s">
        <v>90</v>
      </c>
      <c r="F12" s="162" t="s">
        <v>90</v>
      </c>
      <c r="G12" s="163" t="s">
        <v>90</v>
      </c>
      <c r="H12" s="164" t="s">
        <v>90</v>
      </c>
      <c r="I12" s="161" t="s">
        <v>91</v>
      </c>
      <c r="J12" s="160" t="s">
        <v>91</v>
      </c>
      <c r="K12" s="165"/>
    </row>
    <row r="13" spans="1:11" ht="22.5" customHeight="1" x14ac:dyDescent="0.25">
      <c r="A13" s="322" t="str">
        <f>Platzierung!T16</f>
        <v>Mannschaft 1</v>
      </c>
      <c r="B13" s="323"/>
      <c r="C13" s="324"/>
      <c r="D13" s="205"/>
      <c r="E13" s="206"/>
      <c r="F13" s="207"/>
      <c r="G13" s="207"/>
      <c r="H13" s="208"/>
      <c r="I13" s="206"/>
      <c r="J13" s="208"/>
      <c r="K13" s="209"/>
    </row>
    <row r="14" spans="1:11" ht="22.5" customHeight="1" x14ac:dyDescent="0.25">
      <c r="A14" s="319" t="str">
        <f>Platzierung!T17</f>
        <v>Mannschaft 2</v>
      </c>
      <c r="B14" s="320"/>
      <c r="C14" s="321"/>
      <c r="D14" s="205"/>
      <c r="E14" s="206"/>
      <c r="F14" s="207"/>
      <c r="G14" s="207"/>
      <c r="H14" s="208"/>
      <c r="I14" s="206"/>
      <c r="J14" s="208"/>
      <c r="K14" s="209"/>
    </row>
    <row r="15" spans="1:11" ht="22.5" customHeight="1" x14ac:dyDescent="0.25">
      <c r="A15" s="322" t="str">
        <f>Platzierung!T18</f>
        <v>Mannschaft 3</v>
      </c>
      <c r="B15" s="323"/>
      <c r="C15" s="324"/>
      <c r="D15" s="205"/>
      <c r="E15" s="206"/>
      <c r="F15" s="207"/>
      <c r="G15" s="207"/>
      <c r="H15" s="208"/>
      <c r="I15" s="206"/>
      <c r="J15" s="208"/>
      <c r="K15" s="209"/>
    </row>
    <row r="16" spans="1:11" ht="22.5" customHeight="1" x14ac:dyDescent="0.25">
      <c r="A16" s="319" t="str">
        <f>Platzierung!T19</f>
        <v>Mannschaft 4</v>
      </c>
      <c r="B16" s="320"/>
      <c r="C16" s="321"/>
      <c r="D16" s="205"/>
      <c r="E16" s="206"/>
      <c r="F16" s="207"/>
      <c r="G16" s="207"/>
      <c r="H16" s="208"/>
      <c r="I16" s="206"/>
      <c r="J16" s="208"/>
      <c r="K16" s="209"/>
    </row>
    <row r="17" spans="1:11" ht="22.5" customHeight="1" x14ac:dyDescent="0.25">
      <c r="A17" s="322" t="str">
        <f>Platzierung!T20</f>
        <v>Mannschaft 5</v>
      </c>
      <c r="B17" s="323"/>
      <c r="C17" s="324"/>
      <c r="D17" s="205"/>
      <c r="E17" s="206"/>
      <c r="F17" s="207"/>
      <c r="G17" s="207"/>
      <c r="H17" s="208"/>
      <c r="I17" s="206"/>
      <c r="J17" s="208"/>
      <c r="K17" s="209"/>
    </row>
    <row r="18" spans="1:11" ht="22.5" customHeight="1" x14ac:dyDescent="0.25">
      <c r="A18" s="319" t="str">
        <f>Platzierung!T21</f>
        <v>Mannschaft 6</v>
      </c>
      <c r="B18" s="320"/>
      <c r="C18" s="321"/>
      <c r="D18" s="205"/>
      <c r="E18" s="206"/>
      <c r="F18" s="207"/>
      <c r="G18" s="207"/>
      <c r="H18" s="208"/>
      <c r="I18" s="206"/>
      <c r="J18" s="208"/>
      <c r="K18" s="209"/>
    </row>
    <row r="19" spans="1:11" ht="22.5" customHeight="1" x14ac:dyDescent="0.25">
      <c r="A19" s="322" t="str">
        <f>Platzierung!T22</f>
        <v>Mannschaft 7</v>
      </c>
      <c r="B19" s="323"/>
      <c r="C19" s="324"/>
      <c r="D19" s="205"/>
      <c r="E19" s="206"/>
      <c r="F19" s="207"/>
      <c r="G19" s="207"/>
      <c r="H19" s="208"/>
      <c r="I19" s="206"/>
      <c r="J19" s="208"/>
      <c r="K19" s="209"/>
    </row>
    <row r="20" spans="1:11" ht="22.5" customHeight="1" x14ac:dyDescent="0.25">
      <c r="A20" s="319"/>
      <c r="B20" s="320"/>
      <c r="C20" s="321"/>
      <c r="D20" s="205"/>
      <c r="E20" s="206"/>
      <c r="F20" s="207"/>
      <c r="G20" s="207"/>
      <c r="H20" s="208"/>
      <c r="I20" s="206"/>
      <c r="J20" s="208"/>
      <c r="K20" s="209"/>
    </row>
    <row r="21" spans="1:11" ht="22.5" customHeight="1" x14ac:dyDescent="0.25">
      <c r="A21" s="319"/>
      <c r="B21" s="320"/>
      <c r="C21" s="321"/>
      <c r="D21" s="205"/>
      <c r="E21" s="206"/>
      <c r="F21" s="207"/>
      <c r="G21" s="207"/>
      <c r="H21" s="208"/>
      <c r="I21" s="206"/>
      <c r="J21" s="208"/>
      <c r="K21" s="209"/>
    </row>
    <row r="22" spans="1:11" ht="22.5" customHeight="1" thickBot="1" x14ac:dyDescent="0.3">
      <c r="A22" s="337"/>
      <c r="B22" s="338"/>
      <c r="C22" s="339"/>
      <c r="D22" s="210"/>
      <c r="E22" s="211"/>
      <c r="F22" s="212"/>
      <c r="G22" s="212"/>
      <c r="H22" s="213"/>
      <c r="I22" s="211"/>
      <c r="J22" s="213"/>
      <c r="K22" s="214"/>
    </row>
    <row r="23" spans="1:11" ht="15" x14ac:dyDescent="0.2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s="166" customFormat="1" ht="15" x14ac:dyDescent="0.25">
      <c r="A24" s="330" t="s">
        <v>98</v>
      </c>
      <c r="B24" s="331"/>
      <c r="C24" s="331"/>
      <c r="D24" s="331"/>
      <c r="E24" s="133"/>
      <c r="F24" s="133"/>
      <c r="G24" s="133"/>
      <c r="H24" s="133"/>
      <c r="I24" s="133"/>
      <c r="J24" s="133"/>
      <c r="K24" s="134"/>
    </row>
    <row r="25" spans="1:11" s="166" customFormat="1" ht="15" x14ac:dyDescent="0.25">
      <c r="A25" s="132"/>
      <c r="B25" s="167" t="s">
        <v>92</v>
      </c>
      <c r="C25" s="331" t="s">
        <v>104</v>
      </c>
      <c r="D25" s="331"/>
      <c r="E25" s="331"/>
      <c r="F25" s="331"/>
      <c r="G25" s="331"/>
      <c r="H25" s="354"/>
      <c r="I25" s="354"/>
      <c r="J25" s="354"/>
      <c r="K25" s="355"/>
    </row>
    <row r="26" spans="1:11" s="166" customFormat="1" ht="15" x14ac:dyDescent="0.25">
      <c r="A26" s="132"/>
      <c r="B26" s="167" t="s">
        <v>92</v>
      </c>
      <c r="C26" s="331" t="s">
        <v>105</v>
      </c>
      <c r="D26" s="331"/>
      <c r="E26" s="331"/>
      <c r="F26" s="331"/>
      <c r="G26" s="331"/>
      <c r="H26" s="331"/>
      <c r="I26" s="331"/>
      <c r="J26" s="331"/>
      <c r="K26" s="332"/>
    </row>
    <row r="27" spans="1:11" s="166" customFormat="1" ht="15" x14ac:dyDescent="0.25">
      <c r="A27" s="132"/>
      <c r="B27" s="167" t="s">
        <v>92</v>
      </c>
      <c r="C27" s="331" t="s">
        <v>93</v>
      </c>
      <c r="D27" s="331"/>
      <c r="E27" s="331"/>
      <c r="F27" s="331"/>
      <c r="G27" s="331"/>
      <c r="H27" s="331"/>
      <c r="I27" s="331"/>
      <c r="J27" s="331"/>
      <c r="K27" s="332"/>
    </row>
    <row r="28" spans="1:11" s="166" customFormat="1" ht="15" x14ac:dyDescent="0.25">
      <c r="A28" s="330" t="s">
        <v>99</v>
      </c>
      <c r="B28" s="331"/>
      <c r="C28" s="331"/>
      <c r="D28" s="331"/>
      <c r="E28" s="133"/>
      <c r="F28" s="133"/>
      <c r="G28" s="133"/>
      <c r="H28" s="133"/>
      <c r="I28" s="133"/>
      <c r="J28" s="133"/>
      <c r="K28" s="134"/>
    </row>
    <row r="29" spans="1:11" s="171" customFormat="1" ht="15" x14ac:dyDescent="0.25">
      <c r="A29" s="168" t="s">
        <v>101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70"/>
    </row>
    <row r="30" spans="1:11" s="171" customFormat="1" ht="15" x14ac:dyDescent="0.25">
      <c r="A30" s="168" t="s">
        <v>100</v>
      </c>
      <c r="B30" s="169"/>
      <c r="C30" s="169"/>
      <c r="D30" s="172"/>
      <c r="E30" s="172"/>
      <c r="F30" s="172"/>
      <c r="G30" s="172"/>
      <c r="H30" s="172"/>
      <c r="I30" s="172"/>
      <c r="J30" s="172"/>
      <c r="K30" s="173"/>
    </row>
    <row r="31" spans="1:11" s="166" customFormat="1" ht="15" x14ac:dyDescent="0.25">
      <c r="A31" s="351" t="s">
        <v>94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s="166" customFormat="1" ht="15" x14ac:dyDescent="0.25">
      <c r="A32" s="330" t="s">
        <v>97</v>
      </c>
      <c r="B32" s="331"/>
      <c r="C32" s="331"/>
      <c r="D32" s="331"/>
      <c r="E32" s="175"/>
      <c r="F32" s="175"/>
      <c r="G32" s="175"/>
      <c r="H32" s="175"/>
      <c r="I32" s="175"/>
      <c r="J32" s="175"/>
      <c r="K32" s="176"/>
    </row>
    <row r="33" spans="1:11" s="166" customFormat="1" ht="19.5" customHeight="1" x14ac:dyDescent="0.25">
      <c r="A33" s="174"/>
      <c r="B33" s="335" t="s">
        <v>95</v>
      </c>
      <c r="C33" s="336"/>
      <c r="D33" s="336"/>
      <c r="E33" s="336"/>
      <c r="F33" s="336"/>
      <c r="G33" s="336"/>
      <c r="H33" s="336"/>
      <c r="I33" s="336"/>
      <c r="J33" s="336"/>
      <c r="K33" s="176"/>
    </row>
    <row r="34" spans="1:11" s="166" customFormat="1" ht="19.5" customHeight="1" x14ac:dyDescent="0.25">
      <c r="A34" s="174"/>
      <c r="B34" s="335" t="s">
        <v>95</v>
      </c>
      <c r="C34" s="336"/>
      <c r="D34" s="336"/>
      <c r="E34" s="336"/>
      <c r="F34" s="336"/>
      <c r="G34" s="336"/>
      <c r="H34" s="336"/>
      <c r="I34" s="336"/>
      <c r="J34" s="336"/>
      <c r="K34" s="176"/>
    </row>
    <row r="35" spans="1:11" s="166" customFormat="1" ht="19.5" customHeight="1" x14ac:dyDescent="0.25">
      <c r="A35" s="174"/>
      <c r="B35" s="335" t="s">
        <v>95</v>
      </c>
      <c r="C35" s="336"/>
      <c r="D35" s="336"/>
      <c r="E35" s="336"/>
      <c r="F35" s="336"/>
      <c r="G35" s="336"/>
      <c r="H35" s="336"/>
      <c r="I35" s="336"/>
      <c r="J35" s="336"/>
      <c r="K35" s="176"/>
    </row>
    <row r="36" spans="1:11" s="166" customFormat="1" ht="19.5" customHeight="1" x14ac:dyDescent="0.25">
      <c r="A36" s="174"/>
      <c r="B36" s="335" t="s">
        <v>95</v>
      </c>
      <c r="C36" s="336"/>
      <c r="D36" s="336"/>
      <c r="E36" s="336"/>
      <c r="F36" s="336"/>
      <c r="G36" s="336"/>
      <c r="H36" s="336"/>
      <c r="I36" s="336"/>
      <c r="J36" s="336"/>
      <c r="K36" s="176"/>
    </row>
    <row r="37" spans="1:11" ht="15.75" thickBot="1" x14ac:dyDescent="0.3">
      <c r="A37" s="325"/>
      <c r="B37" s="326"/>
      <c r="C37" s="326"/>
      <c r="D37" s="177"/>
      <c r="E37" s="177"/>
      <c r="F37" s="177"/>
      <c r="G37" s="177"/>
      <c r="H37" s="177"/>
      <c r="I37" s="177"/>
      <c r="J37" s="177"/>
      <c r="K37" s="178"/>
    </row>
  </sheetData>
  <sheetProtection password="CA83" sheet="1" objects="1" scenarios="1"/>
  <mergeCells count="31">
    <mergeCell ref="B35:J35"/>
    <mergeCell ref="B36:J36"/>
    <mergeCell ref="A4:K4"/>
    <mergeCell ref="D1:J1"/>
    <mergeCell ref="E8:H8"/>
    <mergeCell ref="A31:K31"/>
    <mergeCell ref="C25:K25"/>
    <mergeCell ref="A12:C12"/>
    <mergeCell ref="D2:J2"/>
    <mergeCell ref="A13:C13"/>
    <mergeCell ref="A15:C15"/>
    <mergeCell ref="A16:C16"/>
    <mergeCell ref="A18:C18"/>
    <mergeCell ref="I8:J8"/>
    <mergeCell ref="A14:C14"/>
    <mergeCell ref="A21:C21"/>
    <mergeCell ref="A7:J7"/>
    <mergeCell ref="B34:J34"/>
    <mergeCell ref="A22:C22"/>
    <mergeCell ref="B33:J33"/>
    <mergeCell ref="A23:K23"/>
    <mergeCell ref="A20:C20"/>
    <mergeCell ref="A17:C17"/>
    <mergeCell ref="A37:C37"/>
    <mergeCell ref="E9:H9"/>
    <mergeCell ref="A28:D28"/>
    <mergeCell ref="A24:D24"/>
    <mergeCell ref="C26:K26"/>
    <mergeCell ref="C27:K27"/>
    <mergeCell ref="A19:C19"/>
    <mergeCell ref="A32:D32"/>
  </mergeCells>
  <phoneticPr fontId="0" type="noConversion"/>
  <pageMargins left="0.39370078740157483" right="0" top="0.39370078740157483" bottom="0.59055118110236227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>
    <pageSetUpPr fitToPage="1"/>
  </sheetPr>
  <dimension ref="A1:AY612"/>
  <sheetViews>
    <sheetView workbookViewId="0">
      <selection activeCell="AZ32" sqref="AZ32"/>
    </sheetView>
  </sheetViews>
  <sheetFormatPr baseColWidth="10" defaultRowHeight="12.75" x14ac:dyDescent="0.2"/>
  <cols>
    <col min="1" max="1" width="3.140625" style="248" customWidth="1"/>
    <col min="2" max="2" width="0.28515625" customWidth="1"/>
    <col min="3" max="11" width="2.42578125" customWidth="1"/>
    <col min="12" max="12" width="2.28515625" customWidth="1"/>
    <col min="13" max="43" width="2.42578125" customWidth="1"/>
    <col min="44" max="44" width="2.5703125" customWidth="1"/>
    <col min="45" max="46" width="4.28515625" style="247" customWidth="1"/>
    <col min="47" max="51" width="2.28515625" customWidth="1"/>
  </cols>
  <sheetData>
    <row r="1" spans="2:51" ht="15.75" customHeight="1" thickBot="1" x14ac:dyDescent="0.25">
      <c r="AA1" s="52"/>
      <c r="AB1" s="52"/>
      <c r="AC1" s="52"/>
      <c r="AD1" s="52"/>
      <c r="AE1" s="52"/>
      <c r="AF1" s="52"/>
      <c r="AG1" s="52"/>
      <c r="AH1" s="52"/>
    </row>
    <row r="2" spans="2:51" ht="17.25" customHeight="1" x14ac:dyDescent="0.25">
      <c r="B2" s="53"/>
      <c r="C2" s="53"/>
      <c r="D2" s="54" t="s">
        <v>29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 t="s">
        <v>73</v>
      </c>
      <c r="Z2" s="55"/>
      <c r="AA2" s="55"/>
      <c r="AB2" s="55"/>
      <c r="AC2" s="55"/>
      <c r="AD2" s="55"/>
      <c r="AE2" s="55"/>
      <c r="AF2" s="55"/>
      <c r="AG2" s="55"/>
      <c r="AH2" s="433" t="s">
        <v>30</v>
      </c>
      <c r="AI2" s="434"/>
      <c r="AJ2" s="434"/>
      <c r="AK2" s="434"/>
      <c r="AL2" s="434"/>
      <c r="AM2" s="435">
        <f>IF(($AU$9+0)&gt;$AX$9,"",VLOOKUP($AU$9+0,Spielplan,3,0))</f>
        <v>0.72222222222222232</v>
      </c>
      <c r="AN2" s="435"/>
      <c r="AO2" s="435"/>
      <c r="AP2" s="435"/>
      <c r="AQ2" s="436"/>
    </row>
    <row r="3" spans="2:51" ht="0.75" customHeight="1" thickBot="1" x14ac:dyDescent="0.25">
      <c r="B3" s="57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9"/>
      <c r="AI3" s="52"/>
      <c r="AJ3" s="52"/>
      <c r="AK3" s="52"/>
      <c r="AL3" s="52"/>
      <c r="AM3" s="60"/>
      <c r="AN3" s="60"/>
      <c r="AO3" s="60"/>
      <c r="AP3" s="60"/>
      <c r="AQ3" s="61"/>
    </row>
    <row r="4" spans="2:51" ht="15" x14ac:dyDescent="0.25">
      <c r="B4" s="53"/>
      <c r="C4" s="62"/>
      <c r="D4" s="53"/>
      <c r="E4" s="63" t="s">
        <v>6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64"/>
      <c r="S4" s="437" t="s">
        <v>31</v>
      </c>
      <c r="T4" s="438"/>
      <c r="U4" s="438"/>
      <c r="V4" s="438"/>
      <c r="W4" s="438"/>
      <c r="X4" s="438"/>
      <c r="Y4" s="362" t="str">
        <f>IF(($AU$9+0)&gt;$AX$9,"","SHTV")</f>
        <v>SHTV</v>
      </c>
      <c r="Z4" s="362"/>
      <c r="AA4" s="362"/>
      <c r="AB4" s="362"/>
      <c r="AC4" s="362"/>
      <c r="AD4" s="362"/>
      <c r="AE4" s="362"/>
      <c r="AF4" s="362"/>
      <c r="AG4" s="362"/>
      <c r="AH4" s="416" t="s">
        <v>32</v>
      </c>
      <c r="AI4" s="417"/>
      <c r="AJ4" s="417"/>
      <c r="AK4" s="417"/>
      <c r="AL4" s="417"/>
      <c r="AM4" s="420">
        <f>IF(($AU$9+0)&gt;$AX$9,"",VLOOKUP($AU$9+0,Spielplan,4,0))</f>
        <v>12</v>
      </c>
      <c r="AN4" s="421"/>
      <c r="AO4" s="421"/>
      <c r="AP4" s="421"/>
      <c r="AQ4" s="422"/>
      <c r="AU4" t="s">
        <v>148</v>
      </c>
    </row>
    <row r="5" spans="2:51" ht="9.9499999999999993" customHeight="1" x14ac:dyDescent="0.2">
      <c r="B5" s="59"/>
      <c r="C5" s="65"/>
      <c r="D5" s="59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66"/>
      <c r="S5" s="400"/>
      <c r="T5" s="399"/>
      <c r="U5" s="399"/>
      <c r="V5" s="399"/>
      <c r="W5" s="399"/>
      <c r="X5" s="399"/>
      <c r="Y5" s="402"/>
      <c r="Z5" s="402"/>
      <c r="AA5" s="402"/>
      <c r="AB5" s="402"/>
      <c r="AC5" s="402"/>
      <c r="AD5" s="402"/>
      <c r="AE5" s="402"/>
      <c r="AF5" s="402"/>
      <c r="AG5" s="402"/>
      <c r="AH5" s="418"/>
      <c r="AI5" s="419"/>
      <c r="AJ5" s="419"/>
      <c r="AK5" s="419"/>
      <c r="AL5" s="419"/>
      <c r="AM5" s="423"/>
      <c r="AN5" s="423"/>
      <c r="AO5" s="423"/>
      <c r="AP5" s="423"/>
      <c r="AQ5" s="424"/>
    </row>
    <row r="6" spans="2:51" ht="13.15" customHeight="1" x14ac:dyDescent="0.2">
      <c r="B6" s="59"/>
      <c r="C6" s="65"/>
      <c r="D6" s="59"/>
      <c r="E6" s="52" t="s">
        <v>33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66"/>
      <c r="S6" s="398" t="s">
        <v>34</v>
      </c>
      <c r="T6" s="399"/>
      <c r="U6" s="399"/>
      <c r="V6" s="399"/>
      <c r="W6" s="399"/>
      <c r="X6" s="399"/>
      <c r="Y6" s="402" t="str">
        <f>IF(($AU$9+0)&gt;$AX$9,"",Platzierung!$U$3)</f>
        <v>Kurzform Spielklasse</v>
      </c>
      <c r="Z6" s="402"/>
      <c r="AA6" s="402"/>
      <c r="AB6" s="402"/>
      <c r="AC6" s="402"/>
      <c r="AD6" s="402"/>
      <c r="AE6" s="402"/>
      <c r="AF6" s="402"/>
      <c r="AG6" s="402"/>
      <c r="AH6" s="416" t="s">
        <v>35</v>
      </c>
      <c r="AI6" s="417"/>
      <c r="AJ6" s="417"/>
      <c r="AK6" s="417"/>
      <c r="AL6" s="417"/>
      <c r="AM6" s="420">
        <f>IF(($AU$9+0)&gt;$AX$9,"",VLOOKUP($AU$9+0,Spielplan,6,0))</f>
        <v>40</v>
      </c>
      <c r="AN6" s="421"/>
      <c r="AO6" s="421"/>
      <c r="AP6" s="421"/>
      <c r="AQ6" s="422"/>
      <c r="AU6" s="52" t="s">
        <v>149</v>
      </c>
      <c r="AV6" s="52"/>
      <c r="AW6" s="52"/>
      <c r="AX6" s="52"/>
      <c r="AY6" s="52"/>
    </row>
    <row r="7" spans="2:51" ht="9.9499999999999993" customHeight="1" x14ac:dyDescent="0.2">
      <c r="B7" s="59"/>
      <c r="C7" s="65"/>
      <c r="D7" s="59"/>
      <c r="E7" s="52"/>
      <c r="F7" s="52"/>
      <c r="G7" s="52"/>
      <c r="H7" s="52"/>
      <c r="I7" s="52"/>
      <c r="J7" s="67" t="s">
        <v>36</v>
      </c>
      <c r="K7" s="52"/>
      <c r="L7" s="52"/>
      <c r="M7" s="52"/>
      <c r="N7" s="52"/>
      <c r="O7" s="52"/>
      <c r="P7" s="52"/>
      <c r="Q7" s="52"/>
      <c r="R7" s="66"/>
      <c r="S7" s="400"/>
      <c r="T7" s="399"/>
      <c r="U7" s="399"/>
      <c r="V7" s="399"/>
      <c r="W7" s="399"/>
      <c r="X7" s="399"/>
      <c r="Y7" s="402"/>
      <c r="Z7" s="402"/>
      <c r="AA7" s="402"/>
      <c r="AB7" s="402"/>
      <c r="AC7" s="402"/>
      <c r="AD7" s="402"/>
      <c r="AE7" s="402"/>
      <c r="AF7" s="402"/>
      <c r="AG7" s="402"/>
      <c r="AH7" s="418"/>
      <c r="AI7" s="419"/>
      <c r="AJ7" s="419"/>
      <c r="AK7" s="419"/>
      <c r="AL7" s="419"/>
      <c r="AM7" s="423"/>
      <c r="AN7" s="423"/>
      <c r="AO7" s="423"/>
      <c r="AP7" s="423"/>
      <c r="AQ7" s="424"/>
    </row>
    <row r="8" spans="2:51" ht="15.75" customHeight="1" thickBot="1" x14ac:dyDescent="0.25">
      <c r="B8" s="59"/>
      <c r="C8" s="65"/>
      <c r="D8" s="394" t="str">
        <f>IF(($AU$9+0)&gt;$AX$9,"",VLOOKUP($AU$9+0,Spielplan,10,0))</f>
        <v>Mannschaft 3</v>
      </c>
      <c r="E8" s="395"/>
      <c r="F8" s="395"/>
      <c r="G8" s="395"/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6"/>
      <c r="S8" s="398" t="s">
        <v>37</v>
      </c>
      <c r="T8" s="399"/>
      <c r="U8" s="399"/>
      <c r="V8" s="399"/>
      <c r="W8" s="399"/>
      <c r="X8" s="399"/>
      <c r="Y8" s="401" t="str">
        <f>IF(($AU$9+0)&gt;$AX$9,"",VLOOKUP($AU$9+0,Spielplan,2,0))</f>
        <v>Datum eintragen</v>
      </c>
      <c r="Z8" s="402"/>
      <c r="AA8" s="402"/>
      <c r="AB8" s="402"/>
      <c r="AC8" s="402"/>
      <c r="AD8" s="402"/>
      <c r="AE8" s="402"/>
      <c r="AF8" s="402"/>
      <c r="AG8" s="402"/>
      <c r="AH8" s="403" t="s">
        <v>38</v>
      </c>
      <c r="AI8" s="399"/>
      <c r="AJ8" s="399"/>
      <c r="AK8" s="399"/>
      <c r="AL8" s="399"/>
      <c r="AM8" s="425">
        <f>IF(($AU$9+0)&gt;$AX$9,"",VLOOKUP($AU$9+0,Spielplan,5,0))</f>
        <v>2</v>
      </c>
      <c r="AN8" s="426"/>
      <c r="AO8" s="426"/>
      <c r="AP8" s="426"/>
      <c r="AQ8" s="427"/>
      <c r="AU8" s="439" t="s">
        <v>150</v>
      </c>
      <c r="AV8" s="439"/>
      <c r="AW8" s="246"/>
      <c r="AX8" s="439" t="s">
        <v>151</v>
      </c>
      <c r="AY8" s="439"/>
    </row>
    <row r="9" spans="2:51" ht="11.1" customHeight="1" thickBot="1" x14ac:dyDescent="0.25">
      <c r="B9" s="59"/>
      <c r="C9" s="65"/>
      <c r="D9" s="397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395"/>
      <c r="R9" s="396"/>
      <c r="S9" s="400"/>
      <c r="T9" s="399"/>
      <c r="U9" s="399"/>
      <c r="V9" s="399"/>
      <c r="W9" s="399"/>
      <c r="X9" s="399"/>
      <c r="Y9" s="402"/>
      <c r="Z9" s="402"/>
      <c r="AA9" s="402"/>
      <c r="AB9" s="402"/>
      <c r="AC9" s="402"/>
      <c r="AD9" s="402"/>
      <c r="AE9" s="402"/>
      <c r="AF9" s="402"/>
      <c r="AG9" s="402"/>
      <c r="AH9" s="404"/>
      <c r="AI9" s="405"/>
      <c r="AJ9" s="405"/>
      <c r="AK9" s="405"/>
      <c r="AL9" s="405"/>
      <c r="AM9" s="428"/>
      <c r="AN9" s="428"/>
      <c r="AO9" s="428"/>
      <c r="AP9" s="428"/>
      <c r="AQ9" s="429"/>
      <c r="AU9" s="440">
        <v>40</v>
      </c>
      <c r="AV9" s="441"/>
      <c r="AW9" s="444" t="s">
        <v>147</v>
      </c>
      <c r="AX9" s="440">
        <v>42</v>
      </c>
      <c r="AY9" s="441"/>
    </row>
    <row r="10" spans="2:51" ht="11.1" customHeight="1" thickBot="1" x14ac:dyDescent="0.25">
      <c r="B10" s="59"/>
      <c r="C10" s="65"/>
      <c r="D10" s="57"/>
      <c r="E10" s="58"/>
      <c r="F10" s="58"/>
      <c r="G10" s="58"/>
      <c r="H10" s="58"/>
      <c r="I10" s="58"/>
      <c r="J10" s="58" t="s">
        <v>39</v>
      </c>
      <c r="K10" s="58"/>
      <c r="L10" s="58"/>
      <c r="M10" s="58"/>
      <c r="N10" s="58"/>
      <c r="O10" s="52"/>
      <c r="P10" s="52"/>
      <c r="Q10" s="58"/>
      <c r="R10" s="68"/>
      <c r="S10" s="59"/>
      <c r="T10" s="52"/>
      <c r="U10" s="52"/>
      <c r="V10" s="52"/>
      <c r="W10" s="52"/>
      <c r="X10" s="52"/>
      <c r="Y10" s="430"/>
      <c r="Z10" s="430"/>
      <c r="AA10" s="430"/>
      <c r="AB10" s="430"/>
      <c r="AC10" s="430"/>
      <c r="AD10" s="430"/>
      <c r="AE10" s="430"/>
      <c r="AF10" s="431"/>
      <c r="AG10" s="432"/>
      <c r="AH10" s="69" t="s">
        <v>40</v>
      </c>
      <c r="AI10" s="52"/>
      <c r="AJ10" s="52"/>
      <c r="AK10" s="52"/>
      <c r="AL10" s="52"/>
      <c r="AM10" s="52"/>
      <c r="AN10" s="52"/>
      <c r="AO10" s="70"/>
      <c r="AP10" s="52"/>
      <c r="AQ10" s="66"/>
      <c r="AU10" s="442"/>
      <c r="AV10" s="443"/>
      <c r="AW10" s="445"/>
      <c r="AX10" s="442"/>
      <c r="AY10" s="443"/>
    </row>
    <row r="11" spans="2:51" ht="13.5" customHeight="1" thickBot="1" x14ac:dyDescent="0.3">
      <c r="B11" s="59"/>
      <c r="C11" s="65"/>
      <c r="D11" s="53"/>
      <c r="E11" s="63" t="s">
        <v>8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388" t="s">
        <v>41</v>
      </c>
      <c r="R11" s="53"/>
      <c r="S11" s="53"/>
      <c r="T11" s="63" t="s">
        <v>7</v>
      </c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64"/>
      <c r="AF11" s="391" t="s">
        <v>41</v>
      </c>
      <c r="AG11" s="59"/>
      <c r="AH11" s="71" t="s">
        <v>42</v>
      </c>
      <c r="AI11" s="58"/>
      <c r="AJ11" s="58"/>
      <c r="AK11" s="58"/>
      <c r="AL11" s="58"/>
      <c r="AM11" s="58"/>
      <c r="AN11" s="58"/>
      <c r="AO11" s="72"/>
      <c r="AP11" s="52"/>
      <c r="AQ11" s="66"/>
      <c r="AU11" s="249" t="s">
        <v>152</v>
      </c>
    </row>
    <row r="12" spans="2:51" ht="12" customHeight="1" thickBot="1" x14ac:dyDescent="0.25">
      <c r="B12" s="59"/>
      <c r="C12" s="65"/>
      <c r="D12" s="394" t="str">
        <f>IF(($AU$9+0)&gt;$AX$9,"",VLOOKUP($AU$9+0,Spielplan,7,0))</f>
        <v>Mannschaft 4</v>
      </c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6"/>
      <c r="Q12" s="389"/>
      <c r="R12" s="59"/>
      <c r="S12" s="394" t="str">
        <f>IF(($AU$9+0)&gt;$AX$9,"",VLOOKUP($AU$9+0,Spielplan,9,0))</f>
        <v>Mannschaft 2</v>
      </c>
      <c r="T12" s="395"/>
      <c r="U12" s="395"/>
      <c r="V12" s="395"/>
      <c r="W12" s="395"/>
      <c r="X12" s="395"/>
      <c r="Y12" s="395"/>
      <c r="Z12" s="395"/>
      <c r="AA12" s="395"/>
      <c r="AB12" s="395"/>
      <c r="AC12" s="395"/>
      <c r="AD12" s="395"/>
      <c r="AE12" s="409"/>
      <c r="AF12" s="392"/>
      <c r="AG12" s="59"/>
      <c r="AH12" s="410" t="s">
        <v>43</v>
      </c>
      <c r="AI12" s="411"/>
      <c r="AJ12" s="411"/>
      <c r="AK12" s="411"/>
      <c r="AL12" s="411"/>
      <c r="AM12" s="412"/>
      <c r="AN12" s="73" t="s">
        <v>44</v>
      </c>
      <c r="AO12" s="74"/>
      <c r="AP12" s="74"/>
      <c r="AQ12" s="72"/>
      <c r="AU12" s="257" t="str">
        <f>IF(($AU$9+1)&gt;$AX$9,"0","")</f>
        <v/>
      </c>
    </row>
    <row r="13" spans="2:51" ht="12" customHeight="1" thickBot="1" x14ac:dyDescent="0.25">
      <c r="B13" s="57"/>
      <c r="C13" s="70"/>
      <c r="D13" s="406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8"/>
      <c r="Q13" s="390"/>
      <c r="R13" s="57"/>
      <c r="S13" s="406"/>
      <c r="T13" s="407"/>
      <c r="U13" s="407"/>
      <c r="V13" s="407"/>
      <c r="W13" s="407"/>
      <c r="X13" s="407"/>
      <c r="Y13" s="407"/>
      <c r="Z13" s="407"/>
      <c r="AA13" s="407"/>
      <c r="AB13" s="407"/>
      <c r="AC13" s="407"/>
      <c r="AD13" s="407"/>
      <c r="AE13" s="385"/>
      <c r="AF13" s="393"/>
      <c r="AG13" s="57"/>
      <c r="AH13" s="413"/>
      <c r="AI13" s="414"/>
      <c r="AJ13" s="414"/>
      <c r="AK13" s="414"/>
      <c r="AL13" s="414"/>
      <c r="AM13" s="415"/>
      <c r="AN13" s="73" t="s">
        <v>45</v>
      </c>
      <c r="AO13" s="74"/>
      <c r="AP13" s="74"/>
      <c r="AQ13" s="72"/>
      <c r="AU13" s="257" t="str">
        <f>IF(($AU$9+2)&gt;$AX$9,"0","")</f>
        <v/>
      </c>
    </row>
    <row r="14" spans="2:51" ht="9.9499999999999993" customHeight="1" thickBot="1" x14ac:dyDescent="0.25">
      <c r="B14" s="59"/>
      <c r="C14" s="5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66"/>
      <c r="AU14" s="248" t="str">
        <f>IF(($AU$9+3)&gt;$AX$9,"0","")</f>
        <v>0</v>
      </c>
    </row>
    <row r="15" spans="2:51" x14ac:dyDescent="0.2">
      <c r="B15" s="53"/>
      <c r="C15" s="62" t="s">
        <v>44</v>
      </c>
      <c r="D15" s="75"/>
      <c r="E15" s="76"/>
      <c r="F15" s="76"/>
      <c r="G15" s="76"/>
      <c r="H15" s="77"/>
      <c r="I15" s="75"/>
      <c r="J15" s="76"/>
      <c r="K15" s="76"/>
      <c r="L15" s="76"/>
      <c r="M15" s="77"/>
      <c r="N15" s="75"/>
      <c r="O15" s="76"/>
      <c r="P15" s="76"/>
      <c r="Q15" s="76"/>
      <c r="R15" s="77"/>
      <c r="S15" s="75"/>
      <c r="T15" s="76"/>
      <c r="U15" s="76"/>
      <c r="V15" s="76"/>
      <c r="W15" s="77"/>
      <c r="X15" s="75"/>
      <c r="Y15" s="76"/>
      <c r="Z15" s="76"/>
      <c r="AA15" s="76"/>
      <c r="AB15" s="77"/>
      <c r="AC15" s="75"/>
      <c r="AD15" s="76"/>
      <c r="AE15" s="76"/>
      <c r="AF15" s="76"/>
      <c r="AG15" s="77"/>
      <c r="AH15" s="75"/>
      <c r="AI15" s="76"/>
      <c r="AJ15" s="76"/>
      <c r="AK15" s="76"/>
      <c r="AL15" s="76"/>
      <c r="AM15" s="188" t="s">
        <v>44</v>
      </c>
      <c r="AN15" s="386"/>
      <c r="AO15" s="386"/>
      <c r="AP15" s="386"/>
      <c r="AQ15" s="387"/>
      <c r="AU15" s="248" t="str">
        <f>IF(($AU$9+4)&gt;$AX$9,"0","")</f>
        <v>0</v>
      </c>
    </row>
    <row r="16" spans="2:51" ht="13.5" thickBot="1" x14ac:dyDescent="0.25">
      <c r="B16" s="57"/>
      <c r="C16" s="70" t="s">
        <v>45</v>
      </c>
      <c r="D16" s="57"/>
      <c r="E16" s="78"/>
      <c r="F16" s="78"/>
      <c r="G16" s="78"/>
      <c r="H16" s="79"/>
      <c r="I16" s="57"/>
      <c r="J16" s="78"/>
      <c r="K16" s="78"/>
      <c r="L16" s="78"/>
      <c r="M16" s="79"/>
      <c r="N16" s="57"/>
      <c r="O16" s="78"/>
      <c r="P16" s="78"/>
      <c r="Q16" s="78"/>
      <c r="R16" s="79"/>
      <c r="S16" s="57"/>
      <c r="T16" s="78"/>
      <c r="U16" s="78"/>
      <c r="V16" s="78"/>
      <c r="W16" s="79"/>
      <c r="X16" s="57"/>
      <c r="Y16" s="78"/>
      <c r="Z16" s="78"/>
      <c r="AA16" s="78"/>
      <c r="AB16" s="79"/>
      <c r="AC16" s="57"/>
      <c r="AD16" s="78"/>
      <c r="AE16" s="78"/>
      <c r="AF16" s="78"/>
      <c r="AG16" s="79"/>
      <c r="AH16" s="57"/>
      <c r="AI16" s="78"/>
      <c r="AJ16" s="78"/>
      <c r="AK16" s="78"/>
      <c r="AL16" s="78"/>
      <c r="AM16" s="190" t="s">
        <v>45</v>
      </c>
      <c r="AN16" s="323"/>
      <c r="AO16" s="323"/>
      <c r="AP16" s="323"/>
      <c r="AQ16" s="324"/>
      <c r="AU16" s="248" t="str">
        <f>IF(($AU$9+5)&gt;$AX$9,"0","")</f>
        <v>0</v>
      </c>
    </row>
    <row r="17" spans="2:47" x14ac:dyDescent="0.2">
      <c r="B17" s="53"/>
      <c r="C17" s="62" t="s">
        <v>44</v>
      </c>
      <c r="D17" s="75"/>
      <c r="E17" s="76"/>
      <c r="F17" s="76"/>
      <c r="G17" s="76"/>
      <c r="H17" s="77"/>
      <c r="I17" s="75"/>
      <c r="J17" s="76"/>
      <c r="K17" s="76"/>
      <c r="L17" s="76"/>
      <c r="M17" s="77"/>
      <c r="N17" s="75"/>
      <c r="O17" s="76"/>
      <c r="P17" s="76"/>
      <c r="Q17" s="76"/>
      <c r="R17" s="77"/>
      <c r="S17" s="75"/>
      <c r="T17" s="76"/>
      <c r="U17" s="76"/>
      <c r="V17" s="76"/>
      <c r="W17" s="77"/>
      <c r="X17" s="75"/>
      <c r="Y17" s="76"/>
      <c r="Z17" s="76"/>
      <c r="AA17" s="76"/>
      <c r="AB17" s="77"/>
      <c r="AC17" s="75"/>
      <c r="AD17" s="76"/>
      <c r="AE17" s="76"/>
      <c r="AF17" s="76"/>
      <c r="AG17" s="77"/>
      <c r="AH17" s="75"/>
      <c r="AI17" s="76"/>
      <c r="AJ17" s="76"/>
      <c r="AK17" s="76"/>
      <c r="AL17" s="76"/>
      <c r="AM17" s="188" t="s">
        <v>44</v>
      </c>
      <c r="AN17" s="386"/>
      <c r="AO17" s="386"/>
      <c r="AP17" s="386"/>
      <c r="AQ17" s="387"/>
      <c r="AU17" s="248" t="str">
        <f>IF(($AU$9+6)&gt;$AX$9,"0","")</f>
        <v>0</v>
      </c>
    </row>
    <row r="18" spans="2:47" ht="13.5" thickBot="1" x14ac:dyDescent="0.25">
      <c r="B18" s="57"/>
      <c r="C18" s="70" t="s">
        <v>45</v>
      </c>
      <c r="D18" s="57"/>
      <c r="E18" s="78"/>
      <c r="F18" s="78"/>
      <c r="G18" s="78"/>
      <c r="H18" s="79"/>
      <c r="I18" s="57"/>
      <c r="J18" s="78"/>
      <c r="K18" s="78"/>
      <c r="L18" s="78"/>
      <c r="M18" s="79"/>
      <c r="N18" s="57"/>
      <c r="O18" s="78"/>
      <c r="P18" s="78"/>
      <c r="Q18" s="78"/>
      <c r="R18" s="79"/>
      <c r="S18" s="57"/>
      <c r="T18" s="78"/>
      <c r="U18" s="78"/>
      <c r="V18" s="78"/>
      <c r="W18" s="79"/>
      <c r="X18" s="57"/>
      <c r="Y18" s="78"/>
      <c r="Z18" s="78"/>
      <c r="AA18" s="78"/>
      <c r="AB18" s="79"/>
      <c r="AC18" s="57"/>
      <c r="AD18" s="78"/>
      <c r="AE18" s="78"/>
      <c r="AF18" s="78"/>
      <c r="AG18" s="79"/>
      <c r="AH18" s="57"/>
      <c r="AI18" s="78"/>
      <c r="AJ18" s="78"/>
      <c r="AK18" s="78"/>
      <c r="AL18" s="78"/>
      <c r="AM18" s="189" t="s">
        <v>45</v>
      </c>
      <c r="AN18" s="338"/>
      <c r="AO18" s="338"/>
      <c r="AP18" s="338"/>
      <c r="AQ18" s="339"/>
      <c r="AU18" s="248" t="str">
        <f>IF(($AU$9+7)&gt;$AX$9,"0","")</f>
        <v>0</v>
      </c>
    </row>
    <row r="19" spans="2:47" x14ac:dyDescent="0.2">
      <c r="B19" s="53"/>
      <c r="C19" s="62" t="s">
        <v>44</v>
      </c>
      <c r="D19" s="75"/>
      <c r="E19" s="76"/>
      <c r="F19" s="76"/>
      <c r="G19" s="76"/>
      <c r="H19" s="77"/>
      <c r="I19" s="75"/>
      <c r="J19" s="76"/>
      <c r="K19" s="76"/>
      <c r="L19" s="76"/>
      <c r="M19" s="77"/>
      <c r="N19" s="75"/>
      <c r="O19" s="76"/>
      <c r="P19" s="76"/>
      <c r="Q19" s="76"/>
      <c r="R19" s="77"/>
      <c r="S19" s="75"/>
      <c r="T19" s="76"/>
      <c r="U19" s="76"/>
      <c r="V19" s="76"/>
      <c r="W19" s="77"/>
      <c r="X19" s="75"/>
      <c r="Y19" s="76"/>
      <c r="Z19" s="76"/>
      <c r="AA19" s="76"/>
      <c r="AB19" s="77"/>
      <c r="AC19" s="75"/>
      <c r="AD19" s="76"/>
      <c r="AE19" s="76"/>
      <c r="AF19" s="76"/>
      <c r="AG19" s="77"/>
      <c r="AH19" s="75"/>
      <c r="AI19" s="76"/>
      <c r="AJ19" s="76"/>
      <c r="AK19" s="76"/>
      <c r="AL19" s="76"/>
      <c r="AM19" s="188" t="s">
        <v>44</v>
      </c>
      <c r="AN19" s="386"/>
      <c r="AO19" s="386"/>
      <c r="AP19" s="386"/>
      <c r="AQ19" s="387"/>
      <c r="AU19" s="248" t="str">
        <f>IF(($AU$9+8)&gt;$AX$9,"0","")</f>
        <v>0</v>
      </c>
    </row>
    <row r="20" spans="2:47" ht="13.5" thickBot="1" x14ac:dyDescent="0.25">
      <c r="B20" s="57"/>
      <c r="C20" s="70" t="s">
        <v>45</v>
      </c>
      <c r="D20" s="57"/>
      <c r="E20" s="78"/>
      <c r="F20" s="78"/>
      <c r="G20" s="78"/>
      <c r="H20" s="79"/>
      <c r="I20" s="57"/>
      <c r="J20" s="78"/>
      <c r="K20" s="78"/>
      <c r="L20" s="78"/>
      <c r="M20" s="79"/>
      <c r="N20" s="57"/>
      <c r="O20" s="78"/>
      <c r="P20" s="78"/>
      <c r="Q20" s="78"/>
      <c r="R20" s="79"/>
      <c r="S20" s="57"/>
      <c r="T20" s="78"/>
      <c r="U20" s="78"/>
      <c r="V20" s="78"/>
      <c r="W20" s="79"/>
      <c r="X20" s="57"/>
      <c r="Y20" s="78"/>
      <c r="Z20" s="78"/>
      <c r="AA20" s="78"/>
      <c r="AB20" s="79"/>
      <c r="AC20" s="57"/>
      <c r="AD20" s="78"/>
      <c r="AE20" s="78"/>
      <c r="AF20" s="78"/>
      <c r="AG20" s="79"/>
      <c r="AH20" s="57"/>
      <c r="AI20" s="78"/>
      <c r="AJ20" s="78"/>
      <c r="AK20" s="78"/>
      <c r="AL20" s="78"/>
      <c r="AM20" s="189" t="s">
        <v>45</v>
      </c>
      <c r="AN20" s="338"/>
      <c r="AO20" s="338"/>
      <c r="AP20" s="338"/>
      <c r="AQ20" s="339"/>
      <c r="AU20" s="248" t="str">
        <f>IF(($AU$9+9)&gt;$AX$9,"0","")</f>
        <v>0</v>
      </c>
    </row>
    <row r="21" spans="2:47" ht="9.9499999999999993" customHeight="1" x14ac:dyDescent="0.2">
      <c r="B21" s="59"/>
      <c r="C21" s="59"/>
      <c r="D21" s="374" t="s">
        <v>46</v>
      </c>
      <c r="E21" s="375"/>
      <c r="F21" s="376"/>
      <c r="G21" s="380" t="s">
        <v>47</v>
      </c>
      <c r="H21" s="381"/>
      <c r="I21" s="381"/>
      <c r="J21" s="381"/>
      <c r="K21" s="381"/>
      <c r="L21" s="381"/>
      <c r="M21" s="381"/>
      <c r="N21" s="381"/>
      <c r="O21" s="382"/>
      <c r="P21" s="359" t="s">
        <v>41</v>
      </c>
      <c r="Q21" s="359" t="s">
        <v>48</v>
      </c>
      <c r="R21" s="52"/>
      <c r="S21" s="374" t="s">
        <v>46</v>
      </c>
      <c r="T21" s="375"/>
      <c r="U21" s="376"/>
      <c r="V21" s="380" t="s">
        <v>47</v>
      </c>
      <c r="W21" s="381"/>
      <c r="X21" s="381"/>
      <c r="Y21" s="381"/>
      <c r="Z21" s="381"/>
      <c r="AA21" s="381"/>
      <c r="AB21" s="381"/>
      <c r="AC21" s="381"/>
      <c r="AD21" s="382"/>
      <c r="AE21" s="359" t="s">
        <v>41</v>
      </c>
      <c r="AF21" s="446" t="s">
        <v>48</v>
      </c>
      <c r="AG21" s="80"/>
      <c r="AH21" s="81"/>
      <c r="AI21" s="81"/>
      <c r="AJ21" s="81"/>
      <c r="AK21" s="81"/>
      <c r="AL21" s="81"/>
      <c r="AM21" s="99"/>
      <c r="AN21" s="373" t="s">
        <v>1</v>
      </c>
      <c r="AO21" s="373"/>
      <c r="AP21" s="373" t="s">
        <v>2</v>
      </c>
      <c r="AQ21" s="373"/>
      <c r="AR21" s="82"/>
      <c r="AU21" s="248" t="str">
        <f>IF(($AU$9+10)&gt;$AX$9,"0","")</f>
        <v>0</v>
      </c>
    </row>
    <row r="22" spans="2:47" ht="13.5" thickBot="1" x14ac:dyDescent="0.25">
      <c r="B22" s="59"/>
      <c r="C22" s="59"/>
      <c r="D22" s="377"/>
      <c r="E22" s="378"/>
      <c r="F22" s="379"/>
      <c r="G22" s="383"/>
      <c r="H22" s="384"/>
      <c r="I22" s="384"/>
      <c r="J22" s="384"/>
      <c r="K22" s="384"/>
      <c r="L22" s="384"/>
      <c r="M22" s="384"/>
      <c r="N22" s="384"/>
      <c r="O22" s="385"/>
      <c r="P22" s="360"/>
      <c r="Q22" s="360"/>
      <c r="R22" s="52"/>
      <c r="S22" s="377"/>
      <c r="T22" s="378"/>
      <c r="U22" s="379"/>
      <c r="V22" s="383"/>
      <c r="W22" s="384"/>
      <c r="X22" s="384"/>
      <c r="Y22" s="384"/>
      <c r="Z22" s="384"/>
      <c r="AA22" s="384"/>
      <c r="AB22" s="384"/>
      <c r="AC22" s="384"/>
      <c r="AD22" s="385"/>
      <c r="AE22" s="360"/>
      <c r="AF22" s="447"/>
      <c r="AG22" s="83"/>
      <c r="AH22" s="52"/>
      <c r="AI22" s="84" t="s">
        <v>49</v>
      </c>
      <c r="AJ22" s="84"/>
      <c r="AK22" s="84"/>
      <c r="AL22" s="84"/>
      <c r="AM22" s="84"/>
      <c r="AN22" s="84"/>
      <c r="AO22" s="85"/>
      <c r="AP22" s="85"/>
      <c r="AQ22" s="86"/>
      <c r="AR22" s="82"/>
      <c r="AU22" s="248" t="str">
        <f>IF(($AU$9+11)&gt;$AX$9,"0","")</f>
        <v>0</v>
      </c>
    </row>
    <row r="23" spans="2:47" ht="13.5" customHeight="1" x14ac:dyDescent="0.2">
      <c r="B23" s="59"/>
      <c r="C23" s="59"/>
      <c r="D23" s="198"/>
      <c r="E23" s="191"/>
      <c r="F23" s="192"/>
      <c r="G23" s="193" t="s">
        <v>50</v>
      </c>
      <c r="H23" s="194"/>
      <c r="I23" s="194"/>
      <c r="J23" s="194"/>
      <c r="K23" s="194"/>
      <c r="L23" s="194"/>
      <c r="M23" s="194"/>
      <c r="N23" s="194"/>
      <c r="O23" s="195"/>
      <c r="P23" s="196"/>
      <c r="Q23" s="196"/>
      <c r="R23" s="197"/>
      <c r="S23" s="198"/>
      <c r="T23" s="191"/>
      <c r="U23" s="192"/>
      <c r="V23" s="193" t="s">
        <v>50</v>
      </c>
      <c r="W23" s="194"/>
      <c r="X23" s="194"/>
      <c r="Y23" s="194"/>
      <c r="Z23" s="194"/>
      <c r="AA23" s="194"/>
      <c r="AB23" s="194"/>
      <c r="AC23" s="194"/>
      <c r="AD23" s="195"/>
      <c r="AE23" s="196"/>
      <c r="AF23" s="198"/>
      <c r="AG23" s="361" t="s">
        <v>68</v>
      </c>
      <c r="AH23" s="362"/>
      <c r="AI23" s="362"/>
      <c r="AJ23" s="363"/>
      <c r="AK23" s="367" t="s">
        <v>51</v>
      </c>
      <c r="AL23" s="368"/>
      <c r="AM23" s="368"/>
      <c r="AN23" s="368"/>
      <c r="AO23" s="368"/>
      <c r="AP23" s="368"/>
      <c r="AQ23" s="369"/>
      <c r="AU23" s="248" t="str">
        <f>IF(($AU$9+12)&gt;$AX$9,"0","")</f>
        <v>0</v>
      </c>
    </row>
    <row r="24" spans="2:47" ht="13.5" customHeight="1" thickBot="1" x14ac:dyDescent="0.25">
      <c r="B24" s="59"/>
      <c r="C24" s="59"/>
      <c r="D24" s="198"/>
      <c r="E24" s="191"/>
      <c r="F24" s="192"/>
      <c r="G24" s="199">
        <v>2</v>
      </c>
      <c r="H24" s="191"/>
      <c r="I24" s="191"/>
      <c r="J24" s="191"/>
      <c r="K24" s="191"/>
      <c r="L24" s="191"/>
      <c r="M24" s="191"/>
      <c r="N24" s="191"/>
      <c r="O24" s="192"/>
      <c r="P24" s="196"/>
      <c r="Q24" s="196"/>
      <c r="R24" s="197"/>
      <c r="S24" s="198"/>
      <c r="T24" s="191"/>
      <c r="U24" s="192"/>
      <c r="V24" s="199">
        <v>2</v>
      </c>
      <c r="W24" s="191"/>
      <c r="X24" s="191"/>
      <c r="Y24" s="191"/>
      <c r="Z24" s="191"/>
      <c r="AA24" s="191"/>
      <c r="AB24" s="191"/>
      <c r="AC24" s="191"/>
      <c r="AD24" s="192"/>
      <c r="AE24" s="196"/>
      <c r="AF24" s="198"/>
      <c r="AG24" s="364"/>
      <c r="AH24" s="365"/>
      <c r="AI24" s="365"/>
      <c r="AJ24" s="366"/>
      <c r="AK24" s="370"/>
      <c r="AL24" s="371"/>
      <c r="AM24" s="371"/>
      <c r="AN24" s="371"/>
      <c r="AO24" s="371"/>
      <c r="AP24" s="371"/>
      <c r="AQ24" s="372"/>
      <c r="AU24" s="248" t="str">
        <f>IF(($AU$9+13)&gt;$AX$9,"0","")</f>
        <v>0</v>
      </c>
    </row>
    <row r="25" spans="2:47" ht="13.5" customHeight="1" x14ac:dyDescent="0.2">
      <c r="B25" s="59"/>
      <c r="C25" s="59"/>
      <c r="D25" s="198"/>
      <c r="E25" s="191"/>
      <c r="F25" s="192"/>
      <c r="G25" s="199">
        <v>3</v>
      </c>
      <c r="H25" s="191"/>
      <c r="I25" s="191"/>
      <c r="J25" s="191"/>
      <c r="K25" s="191"/>
      <c r="L25" s="191"/>
      <c r="M25" s="191"/>
      <c r="N25" s="191"/>
      <c r="O25" s="192"/>
      <c r="P25" s="196"/>
      <c r="Q25" s="196"/>
      <c r="R25" s="197"/>
      <c r="S25" s="198"/>
      <c r="T25" s="191"/>
      <c r="U25" s="192"/>
      <c r="V25" s="199">
        <v>3</v>
      </c>
      <c r="W25" s="191"/>
      <c r="X25" s="191"/>
      <c r="Y25" s="191"/>
      <c r="Z25" s="191"/>
      <c r="AA25" s="191"/>
      <c r="AB25" s="191"/>
      <c r="AC25" s="191"/>
      <c r="AD25" s="192"/>
      <c r="AE25" s="196"/>
      <c r="AF25" s="198"/>
      <c r="AG25" s="361" t="s">
        <v>2</v>
      </c>
      <c r="AH25" s="362"/>
      <c r="AI25" s="362"/>
      <c r="AJ25" s="363"/>
      <c r="AK25" s="367" t="s">
        <v>51</v>
      </c>
      <c r="AL25" s="368"/>
      <c r="AM25" s="368"/>
      <c r="AN25" s="368"/>
      <c r="AO25" s="368"/>
      <c r="AP25" s="368"/>
      <c r="AQ25" s="369"/>
      <c r="AU25" s="248" t="str">
        <f>IF(($AU$9+14)&gt;$AX$9,"0","")</f>
        <v>0</v>
      </c>
    </row>
    <row r="26" spans="2:47" ht="13.5" customHeight="1" thickBot="1" x14ac:dyDescent="0.25">
      <c r="B26" s="59"/>
      <c r="C26" s="59"/>
      <c r="D26" s="198"/>
      <c r="E26" s="191"/>
      <c r="F26" s="192"/>
      <c r="G26" s="199">
        <v>4</v>
      </c>
      <c r="H26" s="191"/>
      <c r="I26" s="191"/>
      <c r="J26" s="191"/>
      <c r="K26" s="191"/>
      <c r="L26" s="191"/>
      <c r="M26" s="191"/>
      <c r="N26" s="191"/>
      <c r="O26" s="192"/>
      <c r="P26" s="196"/>
      <c r="Q26" s="196"/>
      <c r="R26" s="197"/>
      <c r="S26" s="198"/>
      <c r="T26" s="191"/>
      <c r="U26" s="192"/>
      <c r="V26" s="199">
        <v>4</v>
      </c>
      <c r="W26" s="191"/>
      <c r="X26" s="191"/>
      <c r="Y26" s="191"/>
      <c r="Z26" s="191"/>
      <c r="AA26" s="191"/>
      <c r="AB26" s="191"/>
      <c r="AC26" s="191"/>
      <c r="AD26" s="192"/>
      <c r="AE26" s="196"/>
      <c r="AF26" s="198"/>
      <c r="AG26" s="364"/>
      <c r="AH26" s="365"/>
      <c r="AI26" s="365"/>
      <c r="AJ26" s="366"/>
      <c r="AK26" s="370"/>
      <c r="AL26" s="371"/>
      <c r="AM26" s="371"/>
      <c r="AN26" s="371"/>
      <c r="AO26" s="371"/>
      <c r="AP26" s="371"/>
      <c r="AQ26" s="372"/>
      <c r="AU26" s="248" t="str">
        <f>IF(($AU$9+15)&gt;$AX$9,"0","")</f>
        <v>0</v>
      </c>
    </row>
    <row r="27" spans="2:47" ht="13.5" customHeight="1" x14ac:dyDescent="0.2">
      <c r="B27" s="59"/>
      <c r="C27" s="59"/>
      <c r="D27" s="198"/>
      <c r="E27" s="191"/>
      <c r="F27" s="192"/>
      <c r="G27" s="199">
        <v>5</v>
      </c>
      <c r="H27" s="191"/>
      <c r="I27" s="191"/>
      <c r="J27" s="191"/>
      <c r="K27" s="191"/>
      <c r="L27" s="191"/>
      <c r="M27" s="191"/>
      <c r="N27" s="191"/>
      <c r="O27" s="192"/>
      <c r="P27" s="196"/>
      <c r="Q27" s="196"/>
      <c r="R27" s="197"/>
      <c r="S27" s="198"/>
      <c r="T27" s="191"/>
      <c r="U27" s="192"/>
      <c r="V27" s="199">
        <v>5</v>
      </c>
      <c r="W27" s="191"/>
      <c r="X27" s="191"/>
      <c r="Y27" s="191"/>
      <c r="Z27" s="191"/>
      <c r="AA27" s="191"/>
      <c r="AB27" s="191"/>
      <c r="AC27" s="191"/>
      <c r="AD27" s="192"/>
      <c r="AE27" s="196"/>
      <c r="AF27" s="196"/>
      <c r="AG27" s="87" t="s">
        <v>52</v>
      </c>
      <c r="AH27" s="52"/>
      <c r="AI27" s="52"/>
      <c r="AJ27" s="52"/>
      <c r="AK27" s="52"/>
      <c r="AL27" s="52"/>
      <c r="AM27" s="52"/>
      <c r="AN27" s="52"/>
      <c r="AO27" s="52" t="s">
        <v>53</v>
      </c>
      <c r="AP27" s="52"/>
      <c r="AQ27" s="66"/>
      <c r="AU27" s="248" t="str">
        <f>IF(($AU$9+16)&gt;$AX$9,"0","")</f>
        <v>0</v>
      </c>
    </row>
    <row r="28" spans="2:47" ht="13.5" customHeight="1" x14ac:dyDescent="0.2">
      <c r="B28" s="59"/>
      <c r="C28" s="59"/>
      <c r="D28" s="198"/>
      <c r="E28" s="191"/>
      <c r="F28" s="192"/>
      <c r="G28" s="199">
        <v>6</v>
      </c>
      <c r="H28" s="191"/>
      <c r="I28" s="191"/>
      <c r="J28" s="191"/>
      <c r="K28" s="191"/>
      <c r="L28" s="191"/>
      <c r="M28" s="191"/>
      <c r="N28" s="191"/>
      <c r="O28" s="192"/>
      <c r="P28" s="196"/>
      <c r="Q28" s="196"/>
      <c r="R28" s="197"/>
      <c r="S28" s="198"/>
      <c r="T28" s="191"/>
      <c r="U28" s="192"/>
      <c r="V28" s="199">
        <v>6</v>
      </c>
      <c r="W28" s="191"/>
      <c r="X28" s="191"/>
      <c r="Y28" s="191"/>
      <c r="Z28" s="191"/>
      <c r="AA28" s="191"/>
      <c r="AB28" s="191"/>
      <c r="AC28" s="191"/>
      <c r="AD28" s="192"/>
      <c r="AE28" s="196"/>
      <c r="AF28" s="196"/>
      <c r="AG28" s="88"/>
      <c r="AH28" s="52"/>
      <c r="AI28" s="52"/>
      <c r="AJ28" s="52"/>
      <c r="AK28" s="52"/>
      <c r="AL28" s="52"/>
      <c r="AM28" s="52"/>
      <c r="AN28" s="52"/>
      <c r="AO28" s="52"/>
      <c r="AP28" s="52"/>
      <c r="AQ28" s="66"/>
      <c r="AU28" s="248" t="str">
        <f>IF(($AU$9+17)&gt;$AX$9,"0","")</f>
        <v>0</v>
      </c>
    </row>
    <row r="29" spans="2:47" ht="13.5" customHeight="1" thickBot="1" x14ac:dyDescent="0.25">
      <c r="B29" s="59"/>
      <c r="C29" s="59"/>
      <c r="D29" s="198"/>
      <c r="E29" s="191"/>
      <c r="F29" s="192"/>
      <c r="G29" s="199">
        <v>7</v>
      </c>
      <c r="H29" s="191"/>
      <c r="I29" s="191"/>
      <c r="J29" s="191"/>
      <c r="K29" s="191"/>
      <c r="L29" s="191"/>
      <c r="M29" s="191"/>
      <c r="N29" s="191"/>
      <c r="O29" s="192"/>
      <c r="P29" s="196"/>
      <c r="Q29" s="196"/>
      <c r="R29" s="197"/>
      <c r="S29" s="198"/>
      <c r="T29" s="191"/>
      <c r="U29" s="192"/>
      <c r="V29" s="199">
        <v>7</v>
      </c>
      <c r="W29" s="191"/>
      <c r="X29" s="191"/>
      <c r="Y29" s="191"/>
      <c r="Z29" s="191"/>
      <c r="AA29" s="191"/>
      <c r="AB29" s="191"/>
      <c r="AC29" s="191"/>
      <c r="AD29" s="192"/>
      <c r="AE29" s="196"/>
      <c r="AF29" s="196"/>
      <c r="AG29" s="59" t="s">
        <v>54</v>
      </c>
      <c r="AH29" s="52"/>
      <c r="AI29" s="52"/>
      <c r="AJ29" s="52"/>
      <c r="AK29" s="52"/>
      <c r="AL29" s="52"/>
      <c r="AM29" s="52"/>
      <c r="AN29" s="52"/>
      <c r="AO29" s="52"/>
      <c r="AP29" s="52"/>
      <c r="AQ29" s="66"/>
      <c r="AU29" s="248"/>
    </row>
    <row r="30" spans="2:47" ht="13.5" customHeight="1" thickBot="1" x14ac:dyDescent="0.25">
      <c r="B30" s="59"/>
      <c r="C30" s="59"/>
      <c r="D30" s="204"/>
      <c r="E30" s="200"/>
      <c r="F30" s="201"/>
      <c r="G30" s="202">
        <v>8</v>
      </c>
      <c r="H30" s="200"/>
      <c r="I30" s="200"/>
      <c r="J30" s="200"/>
      <c r="K30" s="200"/>
      <c r="L30" s="200"/>
      <c r="M30" s="200"/>
      <c r="N30" s="200"/>
      <c r="O30" s="201"/>
      <c r="P30" s="203"/>
      <c r="Q30" s="203"/>
      <c r="R30" s="197"/>
      <c r="S30" s="204"/>
      <c r="T30" s="200"/>
      <c r="U30" s="201"/>
      <c r="V30" s="202">
        <v>8</v>
      </c>
      <c r="W30" s="200"/>
      <c r="X30" s="200"/>
      <c r="Y30" s="200"/>
      <c r="Z30" s="200"/>
      <c r="AA30" s="200"/>
      <c r="AB30" s="200"/>
      <c r="AC30" s="200"/>
      <c r="AD30" s="201"/>
      <c r="AE30" s="203"/>
      <c r="AF30" s="203"/>
      <c r="AG30" s="89" t="s">
        <v>55</v>
      </c>
      <c r="AH30" s="55"/>
      <c r="AI30" s="55"/>
      <c r="AJ30" s="55"/>
      <c r="AK30" s="55"/>
      <c r="AL30" s="55"/>
      <c r="AM30" s="55"/>
      <c r="AN30" s="55"/>
      <c r="AO30" s="55"/>
      <c r="AP30" s="55"/>
      <c r="AQ30" s="64"/>
      <c r="AU30" s="248"/>
    </row>
    <row r="31" spans="2:47" ht="13.5" customHeight="1" thickBot="1" x14ac:dyDescent="0.25">
      <c r="B31" s="59"/>
      <c r="C31" s="59"/>
      <c r="D31" s="74"/>
      <c r="E31" s="90"/>
      <c r="F31" s="90"/>
      <c r="G31" s="90"/>
      <c r="H31" s="90"/>
      <c r="I31" s="90"/>
      <c r="J31" s="91" t="s">
        <v>56</v>
      </c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2"/>
      <c r="AG31" s="69" t="s">
        <v>57</v>
      </c>
      <c r="AH31" s="52"/>
      <c r="AI31" s="52"/>
      <c r="AJ31" s="52"/>
      <c r="AK31" s="52"/>
      <c r="AL31" s="52"/>
      <c r="AM31" s="52"/>
      <c r="AN31" s="52"/>
      <c r="AO31" s="52"/>
      <c r="AP31" s="52"/>
      <c r="AQ31" s="66"/>
      <c r="AU31" s="248"/>
    </row>
    <row r="32" spans="2:47" ht="13.5" customHeight="1" thickBot="1" x14ac:dyDescent="0.25">
      <c r="B32" s="59"/>
      <c r="C32" s="59"/>
      <c r="D32" s="93" t="s">
        <v>58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2"/>
      <c r="S32" s="93" t="s">
        <v>59</v>
      </c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2"/>
      <c r="AG32" s="94" t="s">
        <v>60</v>
      </c>
      <c r="AH32" s="95"/>
      <c r="AI32" s="95"/>
      <c r="AJ32" s="95"/>
      <c r="AK32" s="95"/>
      <c r="AL32" s="72"/>
      <c r="AM32" s="96" t="s">
        <v>61</v>
      </c>
      <c r="AN32" s="95"/>
      <c r="AO32" s="95"/>
      <c r="AP32" s="95"/>
      <c r="AQ32" s="72"/>
      <c r="AU32" s="248"/>
    </row>
    <row r="33" spans="2:47" ht="17.25" customHeight="1" thickBot="1" x14ac:dyDescent="0.25">
      <c r="B33" s="57"/>
      <c r="C33" s="57"/>
      <c r="D33" s="93" t="s">
        <v>62</v>
      </c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2"/>
      <c r="S33" s="93" t="s">
        <v>6</v>
      </c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2"/>
      <c r="AG33" s="97" t="s">
        <v>63</v>
      </c>
      <c r="AH33" s="58"/>
      <c r="AI33" s="58"/>
      <c r="AJ33" s="58"/>
      <c r="AK33" s="58"/>
      <c r="AL33" s="72"/>
      <c r="AM33" s="98" t="s">
        <v>64</v>
      </c>
      <c r="AN33" s="58"/>
      <c r="AO33" s="58"/>
      <c r="AP33" s="58"/>
      <c r="AQ33" s="72"/>
      <c r="AU33" s="249"/>
    </row>
    <row r="34" spans="2:47" ht="17.25" customHeight="1" x14ac:dyDescent="0.2">
      <c r="B34" s="52"/>
      <c r="C34" s="52"/>
      <c r="D34" s="99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99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100"/>
      <c r="AH34" s="52"/>
      <c r="AI34" s="52"/>
      <c r="AJ34" s="52"/>
      <c r="AK34" s="52"/>
      <c r="AL34" s="52"/>
      <c r="AM34" s="101"/>
      <c r="AN34" s="52"/>
      <c r="AO34" s="52"/>
      <c r="AP34" s="52"/>
      <c r="AQ34" s="52"/>
    </row>
    <row r="35" spans="2:47" ht="15.95" customHeight="1" thickBot="1" x14ac:dyDescent="0.25"/>
    <row r="36" spans="2:47" ht="17.25" customHeight="1" x14ac:dyDescent="0.25">
      <c r="B36" s="53"/>
      <c r="C36" s="53"/>
      <c r="D36" s="54" t="s">
        <v>29</v>
      </c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6" t="s">
        <v>73</v>
      </c>
      <c r="Z36" s="55"/>
      <c r="AA36" s="55"/>
      <c r="AB36" s="55"/>
      <c r="AC36" s="55"/>
      <c r="AD36" s="55"/>
      <c r="AE36" s="55"/>
      <c r="AF36" s="55"/>
      <c r="AG36" s="55"/>
      <c r="AH36" s="433" t="s">
        <v>30</v>
      </c>
      <c r="AI36" s="434"/>
      <c r="AJ36" s="434"/>
      <c r="AK36" s="434"/>
      <c r="AL36" s="434"/>
      <c r="AM36" s="435">
        <f>IF(($AU$9+1)&gt;$AX$9,"",VLOOKUP($AU$9+1,Spielplan,3,0))</f>
        <v>0.75000000000000011</v>
      </c>
      <c r="AN36" s="435"/>
      <c r="AO36" s="435"/>
      <c r="AP36" s="435"/>
      <c r="AQ36" s="436"/>
    </row>
    <row r="37" spans="2:47" ht="0.75" customHeight="1" thickBot="1" x14ac:dyDescent="0.25">
      <c r="B37" s="57"/>
      <c r="C37" s="5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  <c r="AI37" s="52"/>
      <c r="AJ37" s="52"/>
      <c r="AK37" s="52"/>
      <c r="AL37" s="52"/>
      <c r="AM37" s="60"/>
      <c r="AN37" s="60"/>
      <c r="AO37" s="60"/>
      <c r="AP37" s="60"/>
      <c r="AQ37" s="61"/>
    </row>
    <row r="38" spans="2:47" ht="15" x14ac:dyDescent="0.25">
      <c r="B38" s="53"/>
      <c r="C38" s="62"/>
      <c r="D38" s="53"/>
      <c r="E38" s="63" t="s">
        <v>6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64"/>
      <c r="S38" s="437" t="s">
        <v>31</v>
      </c>
      <c r="T38" s="438"/>
      <c r="U38" s="438"/>
      <c r="V38" s="438"/>
      <c r="W38" s="438"/>
      <c r="X38" s="438"/>
      <c r="Y38" s="362" t="str">
        <f>IF(($AU$9+1)&gt;$AX$9,"","SHTV")</f>
        <v>SHTV</v>
      </c>
      <c r="Z38" s="362"/>
      <c r="AA38" s="362"/>
      <c r="AB38" s="362"/>
      <c r="AC38" s="362"/>
      <c r="AD38" s="362"/>
      <c r="AE38" s="362"/>
      <c r="AF38" s="362"/>
      <c r="AG38" s="362"/>
      <c r="AH38" s="416" t="s">
        <v>32</v>
      </c>
      <c r="AI38" s="417"/>
      <c r="AJ38" s="417"/>
      <c r="AK38" s="417"/>
      <c r="AL38" s="417"/>
      <c r="AM38" s="420">
        <f>IF(($AU$9+1)&gt;$AX$9,"",VLOOKUP($AU$9+1,Spielplan,4,0))</f>
        <v>13</v>
      </c>
      <c r="AN38" s="421"/>
      <c r="AO38" s="421"/>
      <c r="AP38" s="421"/>
      <c r="AQ38" s="422"/>
    </row>
    <row r="39" spans="2:47" ht="9.9499999999999993" customHeight="1" x14ac:dyDescent="0.2">
      <c r="B39" s="59"/>
      <c r="C39" s="65"/>
      <c r="D39" s="59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66"/>
      <c r="S39" s="400"/>
      <c r="T39" s="399"/>
      <c r="U39" s="399"/>
      <c r="V39" s="399"/>
      <c r="W39" s="399"/>
      <c r="X39" s="399"/>
      <c r="Y39" s="402"/>
      <c r="Z39" s="402"/>
      <c r="AA39" s="402"/>
      <c r="AB39" s="402"/>
      <c r="AC39" s="402"/>
      <c r="AD39" s="402"/>
      <c r="AE39" s="402"/>
      <c r="AF39" s="402"/>
      <c r="AG39" s="402"/>
      <c r="AH39" s="418"/>
      <c r="AI39" s="419"/>
      <c r="AJ39" s="419"/>
      <c r="AK39" s="419"/>
      <c r="AL39" s="419"/>
      <c r="AM39" s="423"/>
      <c r="AN39" s="423"/>
      <c r="AO39" s="423"/>
      <c r="AP39" s="423"/>
      <c r="AQ39" s="424"/>
    </row>
    <row r="40" spans="2:47" ht="13.15" customHeight="1" x14ac:dyDescent="0.2">
      <c r="B40" s="59"/>
      <c r="C40" s="65"/>
      <c r="D40" s="59"/>
      <c r="E40" s="52" t="s">
        <v>33</v>
      </c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66"/>
      <c r="S40" s="398" t="s">
        <v>34</v>
      </c>
      <c r="T40" s="399"/>
      <c r="U40" s="399"/>
      <c r="V40" s="399"/>
      <c r="W40" s="399"/>
      <c r="X40" s="399"/>
      <c r="Y40" s="402" t="str">
        <f>IF(($AU$9+1)&gt;$AX$9,"",Platzierung!$U$3)</f>
        <v>Kurzform Spielklasse</v>
      </c>
      <c r="Z40" s="402"/>
      <c r="AA40" s="402"/>
      <c r="AB40" s="402"/>
      <c r="AC40" s="402"/>
      <c r="AD40" s="402"/>
      <c r="AE40" s="402"/>
      <c r="AF40" s="402"/>
      <c r="AG40" s="402"/>
      <c r="AH40" s="416" t="s">
        <v>35</v>
      </c>
      <c r="AI40" s="417"/>
      <c r="AJ40" s="417"/>
      <c r="AK40" s="417"/>
      <c r="AL40" s="417"/>
      <c r="AM40" s="420">
        <f>IF(($AU$9+1)&gt;$AX$9,"",VLOOKUP($AU$9+1,Spielplan,6,0))</f>
        <v>41</v>
      </c>
      <c r="AN40" s="421"/>
      <c r="AO40" s="421"/>
      <c r="AP40" s="421"/>
      <c r="AQ40" s="422"/>
    </row>
    <row r="41" spans="2:47" ht="9.9499999999999993" customHeight="1" x14ac:dyDescent="0.2">
      <c r="B41" s="59"/>
      <c r="C41" s="65"/>
      <c r="D41" s="59"/>
      <c r="E41" s="52"/>
      <c r="F41" s="52"/>
      <c r="G41" s="52"/>
      <c r="H41" s="52"/>
      <c r="I41" s="52"/>
      <c r="J41" s="67" t="s">
        <v>36</v>
      </c>
      <c r="K41" s="52"/>
      <c r="L41" s="52"/>
      <c r="M41" s="52"/>
      <c r="N41" s="52"/>
      <c r="O41" s="52"/>
      <c r="P41" s="52"/>
      <c r="Q41" s="52"/>
      <c r="R41" s="66"/>
      <c r="S41" s="400"/>
      <c r="T41" s="399"/>
      <c r="U41" s="399"/>
      <c r="V41" s="399"/>
      <c r="W41" s="399"/>
      <c r="X41" s="399"/>
      <c r="Y41" s="402"/>
      <c r="Z41" s="402"/>
      <c r="AA41" s="402"/>
      <c r="AB41" s="402"/>
      <c r="AC41" s="402"/>
      <c r="AD41" s="402"/>
      <c r="AE41" s="402"/>
      <c r="AF41" s="402"/>
      <c r="AG41" s="402"/>
      <c r="AH41" s="418"/>
      <c r="AI41" s="419"/>
      <c r="AJ41" s="419"/>
      <c r="AK41" s="419"/>
      <c r="AL41" s="419"/>
      <c r="AM41" s="423"/>
      <c r="AN41" s="423"/>
      <c r="AO41" s="423"/>
      <c r="AP41" s="423"/>
      <c r="AQ41" s="424"/>
    </row>
    <row r="42" spans="2:47" ht="15.75" customHeight="1" x14ac:dyDescent="0.2">
      <c r="B42" s="59"/>
      <c r="C42" s="65"/>
      <c r="D42" s="394" t="str">
        <f>IF(($AU$9+1)&gt;$AX$9,"",VLOOKUP($AU$9+1,Spielplan,10,0))</f>
        <v>Mannschaft 4</v>
      </c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5"/>
      <c r="P42" s="395"/>
      <c r="Q42" s="395"/>
      <c r="R42" s="396"/>
      <c r="S42" s="398" t="s">
        <v>37</v>
      </c>
      <c r="T42" s="399"/>
      <c r="U42" s="399"/>
      <c r="V42" s="399"/>
      <c r="W42" s="399"/>
      <c r="X42" s="399"/>
      <c r="Y42" s="401" t="str">
        <f>IF(($AU$9+1)&gt;$AX$9,"",VLOOKUP($AU$9+1,Spielplan,2,0))</f>
        <v>Datum eintragen</v>
      </c>
      <c r="Z42" s="402"/>
      <c r="AA42" s="402"/>
      <c r="AB42" s="402"/>
      <c r="AC42" s="402"/>
      <c r="AD42" s="402"/>
      <c r="AE42" s="402"/>
      <c r="AF42" s="402"/>
      <c r="AG42" s="402"/>
      <c r="AH42" s="403" t="s">
        <v>38</v>
      </c>
      <c r="AI42" s="399"/>
      <c r="AJ42" s="399"/>
      <c r="AK42" s="399"/>
      <c r="AL42" s="399"/>
      <c r="AM42" s="425">
        <f>IF(($AU$9+1)&gt;$AX$9,"",VLOOKUP($AU$9+1,Spielplan,5,0))</f>
        <v>1</v>
      </c>
      <c r="AN42" s="426"/>
      <c r="AO42" s="426"/>
      <c r="AP42" s="426"/>
      <c r="AQ42" s="427"/>
    </row>
    <row r="43" spans="2:47" ht="11.1" customHeight="1" thickBot="1" x14ac:dyDescent="0.25">
      <c r="B43" s="59"/>
      <c r="C43" s="65"/>
      <c r="D43" s="397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6"/>
      <c r="S43" s="400"/>
      <c r="T43" s="399"/>
      <c r="U43" s="399"/>
      <c r="V43" s="399"/>
      <c r="W43" s="399"/>
      <c r="X43" s="399"/>
      <c r="Y43" s="402"/>
      <c r="Z43" s="402"/>
      <c r="AA43" s="402"/>
      <c r="AB43" s="402"/>
      <c r="AC43" s="402"/>
      <c r="AD43" s="402"/>
      <c r="AE43" s="402"/>
      <c r="AF43" s="402"/>
      <c r="AG43" s="402"/>
      <c r="AH43" s="404"/>
      <c r="AI43" s="405"/>
      <c r="AJ43" s="405"/>
      <c r="AK43" s="405"/>
      <c r="AL43" s="405"/>
      <c r="AM43" s="428"/>
      <c r="AN43" s="428"/>
      <c r="AO43" s="428"/>
      <c r="AP43" s="428"/>
      <c r="AQ43" s="429"/>
    </row>
    <row r="44" spans="2:47" ht="11.1" customHeight="1" thickBot="1" x14ac:dyDescent="0.25">
      <c r="B44" s="59"/>
      <c r="C44" s="65"/>
      <c r="D44" s="57"/>
      <c r="E44" s="58"/>
      <c r="F44" s="58"/>
      <c r="G44" s="58"/>
      <c r="H44" s="58"/>
      <c r="I44" s="58"/>
      <c r="J44" s="58" t="s">
        <v>39</v>
      </c>
      <c r="K44" s="58"/>
      <c r="L44" s="58"/>
      <c r="M44" s="58"/>
      <c r="N44" s="58"/>
      <c r="O44" s="52"/>
      <c r="P44" s="52"/>
      <c r="Q44" s="58"/>
      <c r="R44" s="68"/>
      <c r="S44" s="59"/>
      <c r="T44" s="52"/>
      <c r="U44" s="52"/>
      <c r="V44" s="52"/>
      <c r="W44" s="52"/>
      <c r="X44" s="52"/>
      <c r="Y44" s="430"/>
      <c r="Z44" s="430"/>
      <c r="AA44" s="430"/>
      <c r="AB44" s="430"/>
      <c r="AC44" s="430"/>
      <c r="AD44" s="430"/>
      <c r="AE44" s="430"/>
      <c r="AF44" s="431"/>
      <c r="AG44" s="432"/>
      <c r="AH44" s="69" t="s">
        <v>40</v>
      </c>
      <c r="AI44" s="52"/>
      <c r="AJ44" s="52"/>
      <c r="AK44" s="52"/>
      <c r="AL44" s="52"/>
      <c r="AM44" s="52"/>
      <c r="AN44" s="52"/>
      <c r="AO44" s="70"/>
      <c r="AP44" s="52"/>
      <c r="AQ44" s="66"/>
    </row>
    <row r="45" spans="2:47" ht="13.5" customHeight="1" thickBot="1" x14ac:dyDescent="0.3">
      <c r="B45" s="59"/>
      <c r="C45" s="65"/>
      <c r="D45" s="53"/>
      <c r="E45" s="63" t="s">
        <v>8</v>
      </c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388" t="s">
        <v>41</v>
      </c>
      <c r="R45" s="53"/>
      <c r="S45" s="53"/>
      <c r="T45" s="63" t="s">
        <v>7</v>
      </c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64"/>
      <c r="AF45" s="391" t="s">
        <v>41</v>
      </c>
      <c r="AG45" s="59"/>
      <c r="AH45" s="71" t="s">
        <v>42</v>
      </c>
      <c r="AI45" s="58"/>
      <c r="AJ45" s="58"/>
      <c r="AK45" s="58"/>
      <c r="AL45" s="58"/>
      <c r="AM45" s="58"/>
      <c r="AN45" s="58"/>
      <c r="AO45" s="72"/>
      <c r="AP45" s="52"/>
      <c r="AQ45" s="66"/>
    </row>
    <row r="46" spans="2:47" ht="12" customHeight="1" thickBot="1" x14ac:dyDescent="0.25">
      <c r="B46" s="59"/>
      <c r="C46" s="65"/>
      <c r="D46" s="394" t="str">
        <f>IF(($AU$9+1)&gt;$AX$9,"",VLOOKUP($AU$9+1,Spielplan,7,0))</f>
        <v>Mannschaft 3</v>
      </c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5"/>
      <c r="P46" s="396"/>
      <c r="Q46" s="389"/>
      <c r="R46" s="59"/>
      <c r="S46" s="394" t="str">
        <f>IF(($AU$9+1)&gt;$AX$9,"",VLOOKUP($AU$9+1,Spielplan,9,0))</f>
        <v>Mannschaft 1</v>
      </c>
      <c r="T46" s="395"/>
      <c r="U46" s="395"/>
      <c r="V46" s="395"/>
      <c r="W46" s="395"/>
      <c r="X46" s="395"/>
      <c r="Y46" s="395"/>
      <c r="Z46" s="395"/>
      <c r="AA46" s="395"/>
      <c r="AB46" s="395"/>
      <c r="AC46" s="395"/>
      <c r="AD46" s="395"/>
      <c r="AE46" s="409"/>
      <c r="AF46" s="392"/>
      <c r="AG46" s="59"/>
      <c r="AH46" s="410" t="s">
        <v>43</v>
      </c>
      <c r="AI46" s="411"/>
      <c r="AJ46" s="411"/>
      <c r="AK46" s="411"/>
      <c r="AL46" s="411"/>
      <c r="AM46" s="412"/>
      <c r="AN46" s="73" t="s">
        <v>44</v>
      </c>
      <c r="AO46" s="74"/>
      <c r="AP46" s="74"/>
      <c r="AQ46" s="72"/>
    </row>
    <row r="47" spans="2:47" ht="12" customHeight="1" thickBot="1" x14ac:dyDescent="0.25">
      <c r="B47" s="57"/>
      <c r="C47" s="70"/>
      <c r="D47" s="406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8"/>
      <c r="Q47" s="390"/>
      <c r="R47" s="57"/>
      <c r="S47" s="406"/>
      <c r="T47" s="407"/>
      <c r="U47" s="407"/>
      <c r="V47" s="407"/>
      <c r="W47" s="407"/>
      <c r="X47" s="407"/>
      <c r="Y47" s="407"/>
      <c r="Z47" s="407"/>
      <c r="AA47" s="407"/>
      <c r="AB47" s="407"/>
      <c r="AC47" s="407"/>
      <c r="AD47" s="407"/>
      <c r="AE47" s="385"/>
      <c r="AF47" s="393"/>
      <c r="AG47" s="57"/>
      <c r="AH47" s="413"/>
      <c r="AI47" s="414"/>
      <c r="AJ47" s="414"/>
      <c r="AK47" s="414"/>
      <c r="AL47" s="414"/>
      <c r="AM47" s="415"/>
      <c r="AN47" s="73" t="s">
        <v>45</v>
      </c>
      <c r="AO47" s="74"/>
      <c r="AP47" s="74"/>
      <c r="AQ47" s="72"/>
    </row>
    <row r="48" spans="2:47" ht="9.9499999999999993" customHeight="1" thickBot="1" x14ac:dyDescent="0.25">
      <c r="B48" s="59"/>
      <c r="C48" s="59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66"/>
    </row>
    <row r="49" spans="2:44" x14ac:dyDescent="0.2">
      <c r="B49" s="53"/>
      <c r="C49" s="62" t="s">
        <v>44</v>
      </c>
      <c r="D49" s="75"/>
      <c r="E49" s="76"/>
      <c r="F49" s="76"/>
      <c r="G49" s="76"/>
      <c r="H49" s="77"/>
      <c r="I49" s="75"/>
      <c r="J49" s="76"/>
      <c r="K49" s="76"/>
      <c r="L49" s="76"/>
      <c r="M49" s="77"/>
      <c r="N49" s="75"/>
      <c r="O49" s="76"/>
      <c r="P49" s="76"/>
      <c r="Q49" s="76"/>
      <c r="R49" s="77"/>
      <c r="S49" s="75"/>
      <c r="T49" s="76"/>
      <c r="U49" s="76"/>
      <c r="V49" s="76"/>
      <c r="W49" s="77"/>
      <c r="X49" s="75"/>
      <c r="Y49" s="76"/>
      <c r="Z49" s="76"/>
      <c r="AA49" s="76"/>
      <c r="AB49" s="77"/>
      <c r="AC49" s="75"/>
      <c r="AD49" s="76"/>
      <c r="AE49" s="76"/>
      <c r="AF49" s="76"/>
      <c r="AG49" s="77"/>
      <c r="AH49" s="75"/>
      <c r="AI49" s="76"/>
      <c r="AJ49" s="76"/>
      <c r="AK49" s="76"/>
      <c r="AL49" s="76"/>
      <c r="AM49" s="188" t="s">
        <v>44</v>
      </c>
      <c r="AN49" s="386"/>
      <c r="AO49" s="386"/>
      <c r="AP49" s="386"/>
      <c r="AQ49" s="387"/>
    </row>
    <row r="50" spans="2:44" ht="13.5" thickBot="1" x14ac:dyDescent="0.25">
      <c r="B50" s="57"/>
      <c r="C50" s="70" t="s">
        <v>45</v>
      </c>
      <c r="D50" s="57"/>
      <c r="E50" s="78"/>
      <c r="F50" s="78"/>
      <c r="G50" s="78"/>
      <c r="H50" s="79"/>
      <c r="I50" s="57"/>
      <c r="J50" s="78"/>
      <c r="K50" s="78"/>
      <c r="L50" s="78"/>
      <c r="M50" s="79"/>
      <c r="N50" s="57"/>
      <c r="O50" s="78"/>
      <c r="P50" s="78"/>
      <c r="Q50" s="78"/>
      <c r="R50" s="79"/>
      <c r="S50" s="57"/>
      <c r="T50" s="78"/>
      <c r="U50" s="78"/>
      <c r="V50" s="78"/>
      <c r="W50" s="79"/>
      <c r="X50" s="57"/>
      <c r="Y50" s="78"/>
      <c r="Z50" s="78"/>
      <c r="AA50" s="78"/>
      <c r="AB50" s="79"/>
      <c r="AC50" s="57"/>
      <c r="AD50" s="78"/>
      <c r="AE50" s="78"/>
      <c r="AF50" s="78"/>
      <c r="AG50" s="79"/>
      <c r="AH50" s="57"/>
      <c r="AI50" s="78"/>
      <c r="AJ50" s="78"/>
      <c r="AK50" s="78"/>
      <c r="AL50" s="78"/>
      <c r="AM50" s="190" t="s">
        <v>45</v>
      </c>
      <c r="AN50" s="323"/>
      <c r="AO50" s="323"/>
      <c r="AP50" s="323"/>
      <c r="AQ50" s="324"/>
    </row>
    <row r="51" spans="2:44" x14ac:dyDescent="0.2">
      <c r="B51" s="53"/>
      <c r="C51" s="62" t="s">
        <v>44</v>
      </c>
      <c r="D51" s="75"/>
      <c r="E51" s="76"/>
      <c r="F51" s="76"/>
      <c r="G51" s="76"/>
      <c r="H51" s="77"/>
      <c r="I51" s="75"/>
      <c r="J51" s="76"/>
      <c r="K51" s="76"/>
      <c r="L51" s="76"/>
      <c r="M51" s="77"/>
      <c r="N51" s="75"/>
      <c r="O51" s="76"/>
      <c r="P51" s="76"/>
      <c r="Q51" s="76"/>
      <c r="R51" s="77"/>
      <c r="S51" s="75"/>
      <c r="T51" s="76"/>
      <c r="U51" s="76"/>
      <c r="V51" s="76"/>
      <c r="W51" s="77"/>
      <c r="X51" s="75"/>
      <c r="Y51" s="76"/>
      <c r="Z51" s="76"/>
      <c r="AA51" s="76"/>
      <c r="AB51" s="77"/>
      <c r="AC51" s="75"/>
      <c r="AD51" s="76"/>
      <c r="AE51" s="76"/>
      <c r="AF51" s="76"/>
      <c r="AG51" s="77"/>
      <c r="AH51" s="75"/>
      <c r="AI51" s="76"/>
      <c r="AJ51" s="76"/>
      <c r="AK51" s="76"/>
      <c r="AL51" s="76"/>
      <c r="AM51" s="188" t="s">
        <v>44</v>
      </c>
      <c r="AN51" s="386"/>
      <c r="AO51" s="386"/>
      <c r="AP51" s="386"/>
      <c r="AQ51" s="387"/>
    </row>
    <row r="52" spans="2:44" ht="13.5" thickBot="1" x14ac:dyDescent="0.25">
      <c r="B52" s="57"/>
      <c r="C52" s="70" t="s">
        <v>45</v>
      </c>
      <c r="D52" s="57"/>
      <c r="E52" s="78"/>
      <c r="F52" s="78"/>
      <c r="G52" s="78"/>
      <c r="H52" s="79"/>
      <c r="I52" s="57"/>
      <c r="J52" s="78"/>
      <c r="K52" s="78"/>
      <c r="L52" s="78"/>
      <c r="M52" s="79"/>
      <c r="N52" s="57"/>
      <c r="O52" s="78"/>
      <c r="P52" s="78"/>
      <c r="Q52" s="78"/>
      <c r="R52" s="79"/>
      <c r="S52" s="57"/>
      <c r="T52" s="78"/>
      <c r="U52" s="78"/>
      <c r="V52" s="78"/>
      <c r="W52" s="79"/>
      <c r="X52" s="57"/>
      <c r="Y52" s="78"/>
      <c r="Z52" s="78"/>
      <c r="AA52" s="78"/>
      <c r="AB52" s="79"/>
      <c r="AC52" s="57"/>
      <c r="AD52" s="78"/>
      <c r="AE52" s="78"/>
      <c r="AF52" s="78"/>
      <c r="AG52" s="79"/>
      <c r="AH52" s="57"/>
      <c r="AI52" s="78"/>
      <c r="AJ52" s="78"/>
      <c r="AK52" s="78"/>
      <c r="AL52" s="78"/>
      <c r="AM52" s="189" t="s">
        <v>45</v>
      </c>
      <c r="AN52" s="338"/>
      <c r="AO52" s="338"/>
      <c r="AP52" s="338"/>
      <c r="AQ52" s="339"/>
    </row>
    <row r="53" spans="2:44" x14ac:dyDescent="0.2">
      <c r="B53" s="53"/>
      <c r="C53" s="62" t="s">
        <v>44</v>
      </c>
      <c r="D53" s="75"/>
      <c r="E53" s="76"/>
      <c r="F53" s="76"/>
      <c r="G53" s="76"/>
      <c r="H53" s="77"/>
      <c r="I53" s="75"/>
      <c r="J53" s="76"/>
      <c r="K53" s="76"/>
      <c r="L53" s="76"/>
      <c r="M53" s="77"/>
      <c r="N53" s="75"/>
      <c r="O53" s="76"/>
      <c r="P53" s="76"/>
      <c r="Q53" s="76"/>
      <c r="R53" s="77"/>
      <c r="S53" s="75"/>
      <c r="T53" s="76"/>
      <c r="U53" s="76"/>
      <c r="V53" s="76"/>
      <c r="W53" s="77"/>
      <c r="X53" s="75"/>
      <c r="Y53" s="76"/>
      <c r="Z53" s="76"/>
      <c r="AA53" s="76"/>
      <c r="AB53" s="77"/>
      <c r="AC53" s="75"/>
      <c r="AD53" s="76"/>
      <c r="AE53" s="76"/>
      <c r="AF53" s="76"/>
      <c r="AG53" s="77"/>
      <c r="AH53" s="75"/>
      <c r="AI53" s="76"/>
      <c r="AJ53" s="76"/>
      <c r="AK53" s="76"/>
      <c r="AL53" s="76"/>
      <c r="AM53" s="188" t="s">
        <v>44</v>
      </c>
      <c r="AN53" s="386"/>
      <c r="AO53" s="386"/>
      <c r="AP53" s="386"/>
      <c r="AQ53" s="387"/>
    </row>
    <row r="54" spans="2:44" ht="13.5" thickBot="1" x14ac:dyDescent="0.25">
      <c r="B54" s="57"/>
      <c r="C54" s="70" t="s">
        <v>45</v>
      </c>
      <c r="D54" s="57"/>
      <c r="E54" s="78"/>
      <c r="F54" s="78"/>
      <c r="G54" s="78"/>
      <c r="H54" s="79"/>
      <c r="I54" s="57"/>
      <c r="J54" s="78"/>
      <c r="K54" s="78"/>
      <c r="L54" s="78"/>
      <c r="M54" s="79"/>
      <c r="N54" s="57"/>
      <c r="O54" s="78"/>
      <c r="P54" s="78"/>
      <c r="Q54" s="78"/>
      <c r="R54" s="79"/>
      <c r="S54" s="57"/>
      <c r="T54" s="78"/>
      <c r="U54" s="78"/>
      <c r="V54" s="78"/>
      <c r="W54" s="79"/>
      <c r="X54" s="57"/>
      <c r="Y54" s="78"/>
      <c r="Z54" s="78"/>
      <c r="AA54" s="78"/>
      <c r="AB54" s="79"/>
      <c r="AC54" s="57"/>
      <c r="AD54" s="78"/>
      <c r="AE54" s="78"/>
      <c r="AF54" s="78"/>
      <c r="AG54" s="79"/>
      <c r="AH54" s="57"/>
      <c r="AI54" s="78"/>
      <c r="AJ54" s="78"/>
      <c r="AK54" s="78"/>
      <c r="AL54" s="78"/>
      <c r="AM54" s="189" t="s">
        <v>45</v>
      </c>
      <c r="AN54" s="338"/>
      <c r="AO54" s="338"/>
      <c r="AP54" s="338"/>
      <c r="AQ54" s="339"/>
    </row>
    <row r="55" spans="2:44" ht="9.9499999999999993" customHeight="1" x14ac:dyDescent="0.2">
      <c r="B55" s="59"/>
      <c r="C55" s="59"/>
      <c r="D55" s="374" t="s">
        <v>46</v>
      </c>
      <c r="E55" s="375"/>
      <c r="F55" s="376"/>
      <c r="G55" s="380" t="s">
        <v>47</v>
      </c>
      <c r="H55" s="381"/>
      <c r="I55" s="381"/>
      <c r="J55" s="381"/>
      <c r="K55" s="381"/>
      <c r="L55" s="381"/>
      <c r="M55" s="381"/>
      <c r="N55" s="381"/>
      <c r="O55" s="382"/>
      <c r="P55" s="359" t="s">
        <v>41</v>
      </c>
      <c r="Q55" s="359" t="s">
        <v>48</v>
      </c>
      <c r="R55" s="52"/>
      <c r="S55" s="374" t="s">
        <v>46</v>
      </c>
      <c r="T55" s="375"/>
      <c r="U55" s="376"/>
      <c r="V55" s="380" t="s">
        <v>47</v>
      </c>
      <c r="W55" s="381"/>
      <c r="X55" s="381"/>
      <c r="Y55" s="381"/>
      <c r="Z55" s="381"/>
      <c r="AA55" s="381"/>
      <c r="AB55" s="381"/>
      <c r="AC55" s="381"/>
      <c r="AD55" s="382"/>
      <c r="AE55" s="359" t="s">
        <v>41</v>
      </c>
      <c r="AF55" s="359" t="s">
        <v>48</v>
      </c>
      <c r="AG55" s="80"/>
      <c r="AH55" s="81"/>
      <c r="AI55" s="81"/>
      <c r="AJ55" s="81"/>
      <c r="AK55" s="81"/>
      <c r="AL55" s="81"/>
      <c r="AM55" s="99"/>
      <c r="AN55" s="373" t="s">
        <v>1</v>
      </c>
      <c r="AO55" s="373"/>
      <c r="AP55" s="373" t="s">
        <v>2</v>
      </c>
      <c r="AQ55" s="373"/>
      <c r="AR55" s="82"/>
    </row>
    <row r="56" spans="2:44" ht="13.5" thickBot="1" x14ac:dyDescent="0.25">
      <c r="B56" s="59"/>
      <c r="C56" s="59"/>
      <c r="D56" s="377"/>
      <c r="E56" s="378"/>
      <c r="F56" s="379"/>
      <c r="G56" s="383"/>
      <c r="H56" s="384"/>
      <c r="I56" s="384"/>
      <c r="J56" s="384"/>
      <c r="K56" s="384"/>
      <c r="L56" s="384"/>
      <c r="M56" s="384"/>
      <c r="N56" s="384"/>
      <c r="O56" s="385"/>
      <c r="P56" s="360"/>
      <c r="Q56" s="360"/>
      <c r="R56" s="52"/>
      <c r="S56" s="377"/>
      <c r="T56" s="378"/>
      <c r="U56" s="379"/>
      <c r="V56" s="383"/>
      <c r="W56" s="384"/>
      <c r="X56" s="384"/>
      <c r="Y56" s="384"/>
      <c r="Z56" s="384"/>
      <c r="AA56" s="384"/>
      <c r="AB56" s="384"/>
      <c r="AC56" s="384"/>
      <c r="AD56" s="385"/>
      <c r="AE56" s="360"/>
      <c r="AF56" s="360"/>
      <c r="AG56" s="83"/>
      <c r="AH56" s="52"/>
      <c r="AI56" s="84" t="s">
        <v>49</v>
      </c>
      <c r="AJ56" s="84"/>
      <c r="AK56" s="84"/>
      <c r="AL56" s="84"/>
      <c r="AM56" s="84"/>
      <c r="AN56" s="84"/>
      <c r="AO56" s="85"/>
      <c r="AP56" s="85"/>
      <c r="AQ56" s="86"/>
      <c r="AR56" s="82"/>
    </row>
    <row r="57" spans="2:44" ht="13.5" customHeight="1" x14ac:dyDescent="0.2">
      <c r="B57" s="59"/>
      <c r="C57" s="59"/>
      <c r="D57" s="198"/>
      <c r="E57" s="191"/>
      <c r="F57" s="192"/>
      <c r="G57" s="193" t="s">
        <v>50</v>
      </c>
      <c r="H57" s="194"/>
      <c r="I57" s="194"/>
      <c r="J57" s="194"/>
      <c r="K57" s="194"/>
      <c r="L57" s="194"/>
      <c r="M57" s="194"/>
      <c r="N57" s="194"/>
      <c r="O57" s="195"/>
      <c r="P57" s="196"/>
      <c r="Q57" s="196"/>
      <c r="R57" s="197"/>
      <c r="S57" s="198"/>
      <c r="T57" s="191"/>
      <c r="U57" s="192"/>
      <c r="V57" s="193" t="s">
        <v>50</v>
      </c>
      <c r="W57" s="194"/>
      <c r="X57" s="194"/>
      <c r="Y57" s="194"/>
      <c r="Z57" s="194"/>
      <c r="AA57" s="194"/>
      <c r="AB57" s="194"/>
      <c r="AC57" s="194"/>
      <c r="AD57" s="195"/>
      <c r="AE57" s="196"/>
      <c r="AF57" s="196"/>
      <c r="AG57" s="361" t="s">
        <v>68</v>
      </c>
      <c r="AH57" s="362"/>
      <c r="AI57" s="362"/>
      <c r="AJ57" s="363"/>
      <c r="AK57" s="367" t="s">
        <v>51</v>
      </c>
      <c r="AL57" s="368"/>
      <c r="AM57" s="368"/>
      <c r="AN57" s="368"/>
      <c r="AO57" s="368"/>
      <c r="AP57" s="368"/>
      <c r="AQ57" s="369"/>
    </row>
    <row r="58" spans="2:44" ht="13.5" customHeight="1" thickBot="1" x14ac:dyDescent="0.25">
      <c r="B58" s="59"/>
      <c r="C58" s="59"/>
      <c r="D58" s="198"/>
      <c r="E58" s="191"/>
      <c r="F58" s="192"/>
      <c r="G58" s="199">
        <v>2</v>
      </c>
      <c r="H58" s="191"/>
      <c r="I58" s="191"/>
      <c r="J58" s="191"/>
      <c r="K58" s="191"/>
      <c r="L58" s="191"/>
      <c r="M58" s="191"/>
      <c r="N58" s="191"/>
      <c r="O58" s="192"/>
      <c r="P58" s="196"/>
      <c r="Q58" s="196"/>
      <c r="R58" s="197"/>
      <c r="S58" s="198"/>
      <c r="T58" s="191"/>
      <c r="U58" s="192"/>
      <c r="V58" s="199">
        <v>2</v>
      </c>
      <c r="W58" s="191"/>
      <c r="X58" s="191"/>
      <c r="Y58" s="191"/>
      <c r="Z58" s="191"/>
      <c r="AA58" s="191"/>
      <c r="AB58" s="191"/>
      <c r="AC58" s="191"/>
      <c r="AD58" s="192"/>
      <c r="AE58" s="196"/>
      <c r="AF58" s="196"/>
      <c r="AG58" s="364"/>
      <c r="AH58" s="365"/>
      <c r="AI58" s="365"/>
      <c r="AJ58" s="366"/>
      <c r="AK58" s="370"/>
      <c r="AL58" s="371"/>
      <c r="AM58" s="371"/>
      <c r="AN58" s="371"/>
      <c r="AO58" s="371"/>
      <c r="AP58" s="371"/>
      <c r="AQ58" s="372"/>
    </row>
    <row r="59" spans="2:44" ht="13.5" customHeight="1" x14ac:dyDescent="0.2">
      <c r="B59" s="59"/>
      <c r="C59" s="59"/>
      <c r="D59" s="198"/>
      <c r="E59" s="191"/>
      <c r="F59" s="192"/>
      <c r="G59" s="199">
        <v>3</v>
      </c>
      <c r="H59" s="191"/>
      <c r="I59" s="191"/>
      <c r="J59" s="191"/>
      <c r="K59" s="191"/>
      <c r="L59" s="191"/>
      <c r="M59" s="191"/>
      <c r="N59" s="191"/>
      <c r="O59" s="192"/>
      <c r="P59" s="196"/>
      <c r="Q59" s="196"/>
      <c r="R59" s="197"/>
      <c r="S59" s="198"/>
      <c r="T59" s="191"/>
      <c r="U59" s="192"/>
      <c r="V59" s="199">
        <v>3</v>
      </c>
      <c r="W59" s="191"/>
      <c r="X59" s="191"/>
      <c r="Y59" s="191"/>
      <c r="Z59" s="191"/>
      <c r="AA59" s="191"/>
      <c r="AB59" s="191"/>
      <c r="AC59" s="191"/>
      <c r="AD59" s="192"/>
      <c r="AE59" s="196"/>
      <c r="AF59" s="196"/>
      <c r="AG59" s="361" t="s">
        <v>2</v>
      </c>
      <c r="AH59" s="362"/>
      <c r="AI59" s="362"/>
      <c r="AJ59" s="363"/>
      <c r="AK59" s="367" t="s">
        <v>51</v>
      </c>
      <c r="AL59" s="368"/>
      <c r="AM59" s="368"/>
      <c r="AN59" s="368"/>
      <c r="AO59" s="368"/>
      <c r="AP59" s="368"/>
      <c r="AQ59" s="369"/>
    </row>
    <row r="60" spans="2:44" ht="13.5" customHeight="1" thickBot="1" x14ac:dyDescent="0.25">
      <c r="B60" s="59"/>
      <c r="C60" s="59"/>
      <c r="D60" s="198"/>
      <c r="E60" s="191"/>
      <c r="F60" s="192"/>
      <c r="G60" s="199">
        <v>4</v>
      </c>
      <c r="H60" s="191"/>
      <c r="I60" s="191"/>
      <c r="J60" s="191"/>
      <c r="K60" s="191"/>
      <c r="L60" s="191"/>
      <c r="M60" s="191"/>
      <c r="N60" s="191"/>
      <c r="O60" s="192"/>
      <c r="P60" s="196"/>
      <c r="Q60" s="196"/>
      <c r="R60" s="197"/>
      <c r="S60" s="198"/>
      <c r="T60" s="191"/>
      <c r="U60" s="192"/>
      <c r="V60" s="199">
        <v>4</v>
      </c>
      <c r="W60" s="191"/>
      <c r="X60" s="191"/>
      <c r="Y60" s="191"/>
      <c r="Z60" s="191"/>
      <c r="AA60" s="191"/>
      <c r="AB60" s="191"/>
      <c r="AC60" s="191"/>
      <c r="AD60" s="192"/>
      <c r="AE60" s="196"/>
      <c r="AF60" s="196"/>
      <c r="AG60" s="364"/>
      <c r="AH60" s="365"/>
      <c r="AI60" s="365"/>
      <c r="AJ60" s="366"/>
      <c r="AK60" s="370"/>
      <c r="AL60" s="371"/>
      <c r="AM60" s="371"/>
      <c r="AN60" s="371"/>
      <c r="AO60" s="371"/>
      <c r="AP60" s="371"/>
      <c r="AQ60" s="372"/>
    </row>
    <row r="61" spans="2:44" ht="13.5" customHeight="1" x14ac:dyDescent="0.2">
      <c r="B61" s="59"/>
      <c r="C61" s="59"/>
      <c r="D61" s="198"/>
      <c r="E61" s="191"/>
      <c r="F61" s="192"/>
      <c r="G61" s="199">
        <v>5</v>
      </c>
      <c r="H61" s="191"/>
      <c r="I61" s="191"/>
      <c r="J61" s="191"/>
      <c r="K61" s="191"/>
      <c r="L61" s="191"/>
      <c r="M61" s="191"/>
      <c r="N61" s="191"/>
      <c r="O61" s="192"/>
      <c r="P61" s="196"/>
      <c r="Q61" s="196"/>
      <c r="R61" s="197"/>
      <c r="S61" s="198"/>
      <c r="T61" s="191"/>
      <c r="U61" s="192"/>
      <c r="V61" s="199">
        <v>5</v>
      </c>
      <c r="W61" s="191"/>
      <c r="X61" s="191"/>
      <c r="Y61" s="191"/>
      <c r="Z61" s="191"/>
      <c r="AA61" s="191"/>
      <c r="AB61" s="191"/>
      <c r="AC61" s="191"/>
      <c r="AD61" s="192"/>
      <c r="AE61" s="196"/>
      <c r="AF61" s="196"/>
      <c r="AG61" s="87" t="s">
        <v>52</v>
      </c>
      <c r="AH61" s="55"/>
      <c r="AI61" s="55"/>
      <c r="AJ61" s="55"/>
      <c r="AK61" s="55"/>
      <c r="AL61" s="55"/>
      <c r="AM61" s="55"/>
      <c r="AN61" s="55"/>
      <c r="AO61" s="55" t="s">
        <v>53</v>
      </c>
      <c r="AP61" s="55"/>
      <c r="AQ61" s="64"/>
    </row>
    <row r="62" spans="2:44" ht="13.5" customHeight="1" x14ac:dyDescent="0.2">
      <c r="B62" s="59"/>
      <c r="C62" s="59"/>
      <c r="D62" s="198"/>
      <c r="E62" s="191"/>
      <c r="F62" s="192"/>
      <c r="G62" s="199">
        <v>6</v>
      </c>
      <c r="H62" s="191"/>
      <c r="I62" s="191"/>
      <c r="J62" s="191"/>
      <c r="K62" s="191"/>
      <c r="L62" s="191"/>
      <c r="M62" s="191"/>
      <c r="N62" s="191"/>
      <c r="O62" s="192"/>
      <c r="P62" s="196"/>
      <c r="Q62" s="196"/>
      <c r="R62" s="197"/>
      <c r="S62" s="198"/>
      <c r="T62" s="191"/>
      <c r="U62" s="192"/>
      <c r="V62" s="199">
        <v>6</v>
      </c>
      <c r="W62" s="191"/>
      <c r="X62" s="191"/>
      <c r="Y62" s="191"/>
      <c r="Z62" s="191"/>
      <c r="AA62" s="191"/>
      <c r="AB62" s="191"/>
      <c r="AC62" s="191"/>
      <c r="AD62" s="192"/>
      <c r="AE62" s="196"/>
      <c r="AF62" s="196"/>
      <c r="AG62" s="88"/>
      <c r="AH62" s="52"/>
      <c r="AI62" s="52"/>
      <c r="AJ62" s="52"/>
      <c r="AK62" s="52"/>
      <c r="AL62" s="52"/>
      <c r="AM62" s="52"/>
      <c r="AN62" s="52"/>
      <c r="AO62" s="52"/>
      <c r="AP62" s="52"/>
      <c r="AQ62" s="66"/>
    </row>
    <row r="63" spans="2:44" ht="13.5" customHeight="1" thickBot="1" x14ac:dyDescent="0.25">
      <c r="B63" s="59"/>
      <c r="C63" s="59"/>
      <c r="D63" s="198"/>
      <c r="E63" s="191"/>
      <c r="F63" s="192"/>
      <c r="G63" s="199">
        <v>7</v>
      </c>
      <c r="H63" s="191"/>
      <c r="I63" s="191"/>
      <c r="J63" s="191"/>
      <c r="K63" s="191"/>
      <c r="L63" s="191"/>
      <c r="M63" s="191"/>
      <c r="N63" s="191"/>
      <c r="O63" s="192"/>
      <c r="P63" s="196"/>
      <c r="Q63" s="196"/>
      <c r="R63" s="197"/>
      <c r="S63" s="198"/>
      <c r="T63" s="191"/>
      <c r="U63" s="192"/>
      <c r="V63" s="199">
        <v>7</v>
      </c>
      <c r="W63" s="191"/>
      <c r="X63" s="191"/>
      <c r="Y63" s="191"/>
      <c r="Z63" s="191"/>
      <c r="AA63" s="191"/>
      <c r="AB63" s="191"/>
      <c r="AC63" s="191"/>
      <c r="AD63" s="192"/>
      <c r="AE63" s="196"/>
      <c r="AF63" s="196"/>
      <c r="AG63" s="59" t="s">
        <v>54</v>
      </c>
      <c r="AH63" s="52"/>
      <c r="AI63" s="52"/>
      <c r="AJ63" s="52"/>
      <c r="AK63" s="52"/>
      <c r="AL63" s="52"/>
      <c r="AM63" s="52"/>
      <c r="AN63" s="52"/>
      <c r="AO63" s="52"/>
      <c r="AP63" s="52"/>
      <c r="AQ63" s="66"/>
    </row>
    <row r="64" spans="2:44" ht="13.5" customHeight="1" thickBot="1" x14ac:dyDescent="0.25">
      <c r="B64" s="59"/>
      <c r="C64" s="59"/>
      <c r="D64" s="204"/>
      <c r="E64" s="200"/>
      <c r="F64" s="201"/>
      <c r="G64" s="202">
        <v>8</v>
      </c>
      <c r="H64" s="200"/>
      <c r="I64" s="200"/>
      <c r="J64" s="200"/>
      <c r="K64" s="200"/>
      <c r="L64" s="200"/>
      <c r="M64" s="200"/>
      <c r="N64" s="200"/>
      <c r="O64" s="201"/>
      <c r="P64" s="203"/>
      <c r="Q64" s="203"/>
      <c r="R64" s="197"/>
      <c r="S64" s="204"/>
      <c r="T64" s="200"/>
      <c r="U64" s="201"/>
      <c r="V64" s="202">
        <v>8</v>
      </c>
      <c r="W64" s="200"/>
      <c r="X64" s="200"/>
      <c r="Y64" s="200"/>
      <c r="Z64" s="200"/>
      <c r="AA64" s="200"/>
      <c r="AB64" s="200"/>
      <c r="AC64" s="200"/>
      <c r="AD64" s="201"/>
      <c r="AE64" s="203"/>
      <c r="AF64" s="203"/>
      <c r="AG64" s="89" t="s">
        <v>55</v>
      </c>
      <c r="AH64" s="55"/>
      <c r="AI64" s="55"/>
      <c r="AJ64" s="55"/>
      <c r="AK64" s="55"/>
      <c r="AL64" s="55"/>
      <c r="AM64" s="55"/>
      <c r="AN64" s="55"/>
      <c r="AO64" s="55"/>
      <c r="AP64" s="55"/>
      <c r="AQ64" s="64"/>
    </row>
    <row r="65" spans="2:43" ht="13.5" customHeight="1" thickBot="1" x14ac:dyDescent="0.25">
      <c r="B65" s="59"/>
      <c r="C65" s="59"/>
      <c r="D65" s="74"/>
      <c r="E65" s="90"/>
      <c r="F65" s="90"/>
      <c r="G65" s="90"/>
      <c r="H65" s="90"/>
      <c r="I65" s="90"/>
      <c r="J65" s="91" t="s">
        <v>56</v>
      </c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2"/>
      <c r="AG65" s="69" t="s">
        <v>57</v>
      </c>
      <c r="AH65" s="52"/>
      <c r="AI65" s="52"/>
      <c r="AJ65" s="52"/>
      <c r="AK65" s="52"/>
      <c r="AL65" s="52"/>
      <c r="AM65" s="52"/>
      <c r="AN65" s="52"/>
      <c r="AO65" s="52"/>
      <c r="AP65" s="52"/>
      <c r="AQ65" s="66"/>
    </row>
    <row r="66" spans="2:43" ht="13.5" customHeight="1" thickBot="1" x14ac:dyDescent="0.25">
      <c r="B66" s="59"/>
      <c r="C66" s="59"/>
      <c r="D66" s="93" t="s">
        <v>58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2"/>
      <c r="S66" s="93" t="s">
        <v>59</v>
      </c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2"/>
      <c r="AG66" s="94" t="s">
        <v>60</v>
      </c>
      <c r="AH66" s="95"/>
      <c r="AI66" s="95"/>
      <c r="AJ66" s="95"/>
      <c r="AK66" s="95"/>
      <c r="AL66" s="72"/>
      <c r="AM66" s="96" t="s">
        <v>61</v>
      </c>
      <c r="AN66" s="95"/>
      <c r="AO66" s="95"/>
      <c r="AP66" s="95"/>
      <c r="AQ66" s="72"/>
    </row>
    <row r="67" spans="2:43" ht="17.25" customHeight="1" thickBot="1" x14ac:dyDescent="0.25">
      <c r="B67" s="57"/>
      <c r="C67" s="57"/>
      <c r="D67" s="93" t="s">
        <v>62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2"/>
      <c r="S67" s="93" t="s">
        <v>6</v>
      </c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2"/>
      <c r="AG67" s="97" t="s">
        <v>63</v>
      </c>
      <c r="AH67" s="58"/>
      <c r="AI67" s="58"/>
      <c r="AJ67" s="58"/>
      <c r="AK67" s="58"/>
      <c r="AL67" s="72"/>
      <c r="AM67" s="98" t="s">
        <v>64</v>
      </c>
      <c r="AN67" s="58"/>
      <c r="AO67" s="58"/>
      <c r="AP67" s="58"/>
      <c r="AQ67" s="72"/>
    </row>
    <row r="69" spans="2:43" ht="15.75" customHeight="1" thickBot="1" x14ac:dyDescent="0.25">
      <c r="AA69" s="52"/>
      <c r="AB69" s="52"/>
      <c r="AC69" s="52"/>
      <c r="AD69" s="52"/>
      <c r="AE69" s="52"/>
      <c r="AF69" s="52"/>
      <c r="AG69" s="52"/>
      <c r="AH69" s="52"/>
    </row>
    <row r="70" spans="2:43" ht="17.25" customHeight="1" x14ac:dyDescent="0.25">
      <c r="B70" s="53"/>
      <c r="C70" s="53"/>
      <c r="D70" s="54" t="s">
        <v>29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6" t="s">
        <v>73</v>
      </c>
      <c r="Z70" s="55"/>
      <c r="AA70" s="55"/>
      <c r="AB70" s="55"/>
      <c r="AC70" s="55"/>
      <c r="AD70" s="55"/>
      <c r="AE70" s="55"/>
      <c r="AF70" s="55"/>
      <c r="AG70" s="55"/>
      <c r="AH70" s="433" t="s">
        <v>30</v>
      </c>
      <c r="AI70" s="434"/>
      <c r="AJ70" s="434"/>
      <c r="AK70" s="434"/>
      <c r="AL70" s="434"/>
      <c r="AM70" s="435">
        <f>IF(($AU$9+2)&gt;$AX$9,"",VLOOKUP($AU$9+2,Spielplan,3,0))</f>
        <v>0.7777777777777779</v>
      </c>
      <c r="AN70" s="435"/>
      <c r="AO70" s="435"/>
      <c r="AP70" s="435"/>
      <c r="AQ70" s="436"/>
    </row>
    <row r="71" spans="2:43" ht="0.75" customHeight="1" thickBot="1" x14ac:dyDescent="0.25">
      <c r="B71" s="57"/>
      <c r="C71" s="57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9"/>
      <c r="AI71" s="52"/>
      <c r="AJ71" s="52"/>
      <c r="AK71" s="52"/>
      <c r="AL71" s="52"/>
      <c r="AM71" s="60"/>
      <c r="AN71" s="60"/>
      <c r="AO71" s="60"/>
      <c r="AP71" s="60"/>
      <c r="AQ71" s="61"/>
    </row>
    <row r="72" spans="2:43" ht="15" x14ac:dyDescent="0.25">
      <c r="B72" s="53"/>
      <c r="C72" s="62"/>
      <c r="D72" s="53"/>
      <c r="E72" s="63" t="s">
        <v>6</v>
      </c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64"/>
      <c r="S72" s="437" t="s">
        <v>31</v>
      </c>
      <c r="T72" s="438"/>
      <c r="U72" s="438"/>
      <c r="V72" s="438"/>
      <c r="W72" s="438"/>
      <c r="X72" s="438"/>
      <c r="Y72" s="362" t="str">
        <f>IF(($AU$9+2)&gt;$AX$9,"","SHTV")</f>
        <v>SHTV</v>
      </c>
      <c r="Z72" s="362"/>
      <c r="AA72" s="362"/>
      <c r="AB72" s="362"/>
      <c r="AC72" s="362"/>
      <c r="AD72" s="362"/>
      <c r="AE72" s="362"/>
      <c r="AF72" s="362"/>
      <c r="AG72" s="362"/>
      <c r="AH72" s="416" t="s">
        <v>32</v>
      </c>
      <c r="AI72" s="417"/>
      <c r="AJ72" s="417"/>
      <c r="AK72" s="417"/>
      <c r="AL72" s="417"/>
      <c r="AM72" s="420">
        <f>IF(($AU$9+2)&gt;$AX$9,"",VLOOKUP($AU$9+2,Spielplan,4,0))</f>
        <v>14</v>
      </c>
      <c r="AN72" s="421"/>
      <c r="AO72" s="421"/>
      <c r="AP72" s="421"/>
      <c r="AQ72" s="422"/>
    </row>
    <row r="73" spans="2:43" ht="9.9499999999999993" customHeight="1" x14ac:dyDescent="0.2">
      <c r="B73" s="59"/>
      <c r="C73" s="65"/>
      <c r="D73" s="59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66"/>
      <c r="S73" s="400"/>
      <c r="T73" s="399"/>
      <c r="U73" s="399"/>
      <c r="V73" s="399"/>
      <c r="W73" s="399"/>
      <c r="X73" s="399"/>
      <c r="Y73" s="402"/>
      <c r="Z73" s="402"/>
      <c r="AA73" s="402"/>
      <c r="AB73" s="402"/>
      <c r="AC73" s="402"/>
      <c r="AD73" s="402"/>
      <c r="AE73" s="402"/>
      <c r="AF73" s="402"/>
      <c r="AG73" s="402"/>
      <c r="AH73" s="418"/>
      <c r="AI73" s="419"/>
      <c r="AJ73" s="419"/>
      <c r="AK73" s="419"/>
      <c r="AL73" s="419"/>
      <c r="AM73" s="423"/>
      <c r="AN73" s="423"/>
      <c r="AO73" s="423"/>
      <c r="AP73" s="423"/>
      <c r="AQ73" s="424"/>
    </row>
    <row r="74" spans="2:43" ht="13.15" customHeight="1" x14ac:dyDescent="0.2">
      <c r="B74" s="59"/>
      <c r="C74" s="65"/>
      <c r="D74" s="59"/>
      <c r="E74" s="52" t="s">
        <v>33</v>
      </c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66"/>
      <c r="S74" s="398" t="s">
        <v>34</v>
      </c>
      <c r="T74" s="399"/>
      <c r="U74" s="399"/>
      <c r="V74" s="399"/>
      <c r="W74" s="399"/>
      <c r="X74" s="399"/>
      <c r="Y74" s="402" t="str">
        <f>IF(($AU$9+2)&gt;$AX$9,"",Platzierung!$U$3)</f>
        <v>Kurzform Spielklasse</v>
      </c>
      <c r="Z74" s="402"/>
      <c r="AA74" s="402"/>
      <c r="AB74" s="402"/>
      <c r="AC74" s="402"/>
      <c r="AD74" s="402"/>
      <c r="AE74" s="402"/>
      <c r="AF74" s="402"/>
      <c r="AG74" s="402"/>
      <c r="AH74" s="416" t="s">
        <v>35</v>
      </c>
      <c r="AI74" s="417"/>
      <c r="AJ74" s="417"/>
      <c r="AK74" s="417"/>
      <c r="AL74" s="417"/>
      <c r="AM74" s="420">
        <f>IF(($AU$9+2)&gt;$AX$9,"",VLOOKUP($AU$9+2,Spielplan,6,0))</f>
        <v>42</v>
      </c>
      <c r="AN74" s="421"/>
      <c r="AO74" s="421"/>
      <c r="AP74" s="421"/>
      <c r="AQ74" s="422"/>
    </row>
    <row r="75" spans="2:43" ht="9.9499999999999993" customHeight="1" x14ac:dyDescent="0.2">
      <c r="B75" s="59"/>
      <c r="C75" s="65"/>
      <c r="D75" s="59"/>
      <c r="E75" s="52"/>
      <c r="F75" s="52"/>
      <c r="G75" s="52"/>
      <c r="H75" s="52"/>
      <c r="I75" s="52"/>
      <c r="J75" s="67" t="s">
        <v>36</v>
      </c>
      <c r="K75" s="52"/>
      <c r="L75" s="52"/>
      <c r="M75" s="52"/>
      <c r="N75" s="52"/>
      <c r="O75" s="52"/>
      <c r="P75" s="52"/>
      <c r="Q75" s="52"/>
      <c r="R75" s="66"/>
      <c r="S75" s="400"/>
      <c r="T75" s="399"/>
      <c r="U75" s="399"/>
      <c r="V75" s="399"/>
      <c r="W75" s="399"/>
      <c r="X75" s="399"/>
      <c r="Y75" s="402"/>
      <c r="Z75" s="402"/>
      <c r="AA75" s="402"/>
      <c r="AB75" s="402"/>
      <c r="AC75" s="402"/>
      <c r="AD75" s="402"/>
      <c r="AE75" s="402"/>
      <c r="AF75" s="402"/>
      <c r="AG75" s="402"/>
      <c r="AH75" s="418"/>
      <c r="AI75" s="419"/>
      <c r="AJ75" s="419"/>
      <c r="AK75" s="419"/>
      <c r="AL75" s="419"/>
      <c r="AM75" s="423"/>
      <c r="AN75" s="423"/>
      <c r="AO75" s="423"/>
      <c r="AP75" s="423"/>
      <c r="AQ75" s="424"/>
    </row>
    <row r="76" spans="2:43" ht="15.75" customHeight="1" x14ac:dyDescent="0.2">
      <c r="B76" s="59"/>
      <c r="C76" s="65"/>
      <c r="D76" s="394" t="str">
        <f>IF(($AU$9+2)&gt;$AX$9,"",VLOOKUP($AU$9+2,Spielplan,10,0))</f>
        <v>Mannschaft 3</v>
      </c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6"/>
      <c r="S76" s="398" t="s">
        <v>37</v>
      </c>
      <c r="T76" s="399"/>
      <c r="U76" s="399"/>
      <c r="V76" s="399"/>
      <c r="W76" s="399"/>
      <c r="X76" s="399"/>
      <c r="Y76" s="401" t="str">
        <f>IF(($AU$9+2)&gt;$AX$9,"",VLOOKUP($AU$9+2,Spielplan,2,0))</f>
        <v>Datum eintragen</v>
      </c>
      <c r="Z76" s="402"/>
      <c r="AA76" s="402"/>
      <c r="AB76" s="402"/>
      <c r="AC76" s="402"/>
      <c r="AD76" s="402"/>
      <c r="AE76" s="402"/>
      <c r="AF76" s="402"/>
      <c r="AG76" s="402"/>
      <c r="AH76" s="403" t="s">
        <v>38</v>
      </c>
      <c r="AI76" s="399"/>
      <c r="AJ76" s="399"/>
      <c r="AK76" s="399"/>
      <c r="AL76" s="399"/>
      <c r="AM76" s="425">
        <f>IF(($AU$9+2)&gt;$AX$9,"",VLOOKUP($AU$9+2,Spielplan,5,0))</f>
        <v>1</v>
      </c>
      <c r="AN76" s="426"/>
      <c r="AO76" s="426"/>
      <c r="AP76" s="426"/>
      <c r="AQ76" s="427"/>
    </row>
    <row r="77" spans="2:43" ht="11.1" customHeight="1" thickBot="1" x14ac:dyDescent="0.25">
      <c r="B77" s="59"/>
      <c r="C77" s="65"/>
      <c r="D77" s="397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  <c r="P77" s="395"/>
      <c r="Q77" s="395"/>
      <c r="R77" s="396"/>
      <c r="S77" s="400"/>
      <c r="T77" s="399"/>
      <c r="U77" s="399"/>
      <c r="V77" s="399"/>
      <c r="W77" s="399"/>
      <c r="X77" s="399"/>
      <c r="Y77" s="402"/>
      <c r="Z77" s="402"/>
      <c r="AA77" s="402"/>
      <c r="AB77" s="402"/>
      <c r="AC77" s="402"/>
      <c r="AD77" s="402"/>
      <c r="AE77" s="402"/>
      <c r="AF77" s="402"/>
      <c r="AG77" s="402"/>
      <c r="AH77" s="404"/>
      <c r="AI77" s="405"/>
      <c r="AJ77" s="405"/>
      <c r="AK77" s="405"/>
      <c r="AL77" s="405"/>
      <c r="AM77" s="428"/>
      <c r="AN77" s="428"/>
      <c r="AO77" s="428"/>
      <c r="AP77" s="428"/>
      <c r="AQ77" s="429"/>
    </row>
    <row r="78" spans="2:43" ht="11.1" customHeight="1" thickBot="1" x14ac:dyDescent="0.25">
      <c r="B78" s="59"/>
      <c r="C78" s="65"/>
      <c r="D78" s="57"/>
      <c r="E78" s="58"/>
      <c r="F78" s="58"/>
      <c r="G78" s="58"/>
      <c r="H78" s="58"/>
      <c r="I78" s="58"/>
      <c r="J78" s="58" t="s">
        <v>39</v>
      </c>
      <c r="K78" s="58"/>
      <c r="L78" s="58"/>
      <c r="M78" s="58"/>
      <c r="N78" s="58"/>
      <c r="O78" s="52"/>
      <c r="P78" s="52"/>
      <c r="Q78" s="58"/>
      <c r="R78" s="68"/>
      <c r="S78" s="59"/>
      <c r="T78" s="52"/>
      <c r="U78" s="52"/>
      <c r="V78" s="52"/>
      <c r="W78" s="52"/>
      <c r="X78" s="52"/>
      <c r="Y78" s="430"/>
      <c r="Z78" s="430"/>
      <c r="AA78" s="430"/>
      <c r="AB78" s="430"/>
      <c r="AC78" s="430"/>
      <c r="AD78" s="430"/>
      <c r="AE78" s="430"/>
      <c r="AF78" s="431"/>
      <c r="AG78" s="432"/>
      <c r="AH78" s="69" t="s">
        <v>40</v>
      </c>
      <c r="AI78" s="52"/>
      <c r="AJ78" s="52"/>
      <c r="AK78" s="52"/>
      <c r="AL78" s="52"/>
      <c r="AM78" s="52"/>
      <c r="AN78" s="52"/>
      <c r="AO78" s="70"/>
      <c r="AP78" s="52"/>
      <c r="AQ78" s="66"/>
    </row>
    <row r="79" spans="2:43" ht="13.5" customHeight="1" thickBot="1" x14ac:dyDescent="0.3">
      <c r="B79" s="59"/>
      <c r="C79" s="65"/>
      <c r="D79" s="53"/>
      <c r="E79" s="63" t="s">
        <v>8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388" t="s">
        <v>41</v>
      </c>
      <c r="R79" s="53"/>
      <c r="S79" s="53"/>
      <c r="T79" s="63" t="s">
        <v>7</v>
      </c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64"/>
      <c r="AF79" s="391" t="s">
        <v>41</v>
      </c>
      <c r="AG79" s="59"/>
      <c r="AH79" s="71" t="s">
        <v>42</v>
      </c>
      <c r="AI79" s="58"/>
      <c r="AJ79" s="58"/>
      <c r="AK79" s="58"/>
      <c r="AL79" s="58"/>
      <c r="AM79" s="58"/>
      <c r="AN79" s="58"/>
      <c r="AO79" s="72"/>
      <c r="AP79" s="52"/>
      <c r="AQ79" s="66"/>
    </row>
    <row r="80" spans="2:43" ht="12" customHeight="1" thickBot="1" x14ac:dyDescent="0.25">
      <c r="B80" s="59"/>
      <c r="C80" s="65"/>
      <c r="D80" s="394" t="str">
        <f>IF(($AU$9+2)&gt;$AX$9,"",VLOOKUP($AU$9+2,Spielplan,7,0))</f>
        <v>Mannschaft 6</v>
      </c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  <c r="P80" s="396"/>
      <c r="Q80" s="389"/>
      <c r="R80" s="59"/>
      <c r="S80" s="394" t="str">
        <f>IF(($AU$9+2)&gt;$AX$9,"",VLOOKUP($AU$9+2,Spielplan,9,0))</f>
        <v>Mannschaft 4</v>
      </c>
      <c r="T80" s="395"/>
      <c r="U80" s="395"/>
      <c r="V80" s="395"/>
      <c r="W80" s="395"/>
      <c r="X80" s="395"/>
      <c r="Y80" s="395"/>
      <c r="Z80" s="395"/>
      <c r="AA80" s="395"/>
      <c r="AB80" s="395"/>
      <c r="AC80" s="395"/>
      <c r="AD80" s="395"/>
      <c r="AE80" s="409"/>
      <c r="AF80" s="392"/>
      <c r="AG80" s="59"/>
      <c r="AH80" s="410" t="s">
        <v>43</v>
      </c>
      <c r="AI80" s="411"/>
      <c r="AJ80" s="411"/>
      <c r="AK80" s="411"/>
      <c r="AL80" s="411"/>
      <c r="AM80" s="412"/>
      <c r="AN80" s="73" t="s">
        <v>44</v>
      </c>
      <c r="AO80" s="74"/>
      <c r="AP80" s="74"/>
      <c r="AQ80" s="72"/>
    </row>
    <row r="81" spans="2:48" ht="12" customHeight="1" thickBot="1" x14ac:dyDescent="0.25">
      <c r="B81" s="57"/>
      <c r="C81" s="70"/>
      <c r="D81" s="406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8"/>
      <c r="Q81" s="390"/>
      <c r="R81" s="57"/>
      <c r="S81" s="406"/>
      <c r="T81" s="407"/>
      <c r="U81" s="407"/>
      <c r="V81" s="407"/>
      <c r="W81" s="407"/>
      <c r="X81" s="407"/>
      <c r="Y81" s="407"/>
      <c r="Z81" s="407"/>
      <c r="AA81" s="407"/>
      <c r="AB81" s="407"/>
      <c r="AC81" s="407"/>
      <c r="AD81" s="407"/>
      <c r="AE81" s="385"/>
      <c r="AF81" s="393"/>
      <c r="AG81" s="57"/>
      <c r="AH81" s="413"/>
      <c r="AI81" s="414"/>
      <c r="AJ81" s="414"/>
      <c r="AK81" s="414"/>
      <c r="AL81" s="414"/>
      <c r="AM81" s="415"/>
      <c r="AN81" s="73" t="s">
        <v>45</v>
      </c>
      <c r="AO81" s="74"/>
      <c r="AP81" s="74"/>
      <c r="AQ81" s="72"/>
      <c r="AU81" s="46"/>
      <c r="AV81" s="46"/>
    </row>
    <row r="82" spans="2:48" ht="9.9499999999999993" customHeight="1" thickBot="1" x14ac:dyDescent="0.25">
      <c r="B82" s="59"/>
      <c r="C82" s="59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66"/>
      <c r="AU82" s="46"/>
      <c r="AV82" s="46"/>
    </row>
    <row r="83" spans="2:48" x14ac:dyDescent="0.2">
      <c r="B83" s="53"/>
      <c r="C83" s="62" t="s">
        <v>44</v>
      </c>
      <c r="D83" s="75"/>
      <c r="E83" s="76"/>
      <c r="F83" s="76"/>
      <c r="G83" s="76"/>
      <c r="H83" s="77"/>
      <c r="I83" s="75"/>
      <c r="J83" s="76"/>
      <c r="K83" s="76"/>
      <c r="L83" s="76"/>
      <c r="M83" s="77"/>
      <c r="N83" s="75"/>
      <c r="O83" s="76"/>
      <c r="P83" s="76"/>
      <c r="Q83" s="76"/>
      <c r="R83" s="77"/>
      <c r="S83" s="75"/>
      <c r="T83" s="76"/>
      <c r="U83" s="76"/>
      <c r="V83" s="76"/>
      <c r="W83" s="77"/>
      <c r="X83" s="75"/>
      <c r="Y83" s="76"/>
      <c r="Z83" s="76"/>
      <c r="AA83" s="76"/>
      <c r="AB83" s="77"/>
      <c r="AC83" s="75"/>
      <c r="AD83" s="76"/>
      <c r="AE83" s="76"/>
      <c r="AF83" s="76"/>
      <c r="AG83" s="77"/>
      <c r="AH83" s="75"/>
      <c r="AI83" s="76"/>
      <c r="AJ83" s="76"/>
      <c r="AK83" s="76"/>
      <c r="AL83" s="76"/>
      <c r="AM83" s="188" t="s">
        <v>44</v>
      </c>
      <c r="AN83" s="386"/>
      <c r="AO83" s="386"/>
      <c r="AP83" s="386"/>
      <c r="AQ83" s="387"/>
      <c r="AU83" s="46"/>
      <c r="AV83" s="46"/>
    </row>
    <row r="84" spans="2:48" ht="13.5" thickBot="1" x14ac:dyDescent="0.25">
      <c r="B84" s="57"/>
      <c r="C84" s="70" t="s">
        <v>45</v>
      </c>
      <c r="D84" s="57"/>
      <c r="E84" s="78"/>
      <c r="F84" s="78"/>
      <c r="G84" s="78"/>
      <c r="H84" s="79"/>
      <c r="I84" s="57"/>
      <c r="J84" s="78"/>
      <c r="K84" s="78"/>
      <c r="L84" s="78"/>
      <c r="M84" s="79"/>
      <c r="N84" s="57"/>
      <c r="O84" s="78"/>
      <c r="P84" s="78"/>
      <c r="Q84" s="78"/>
      <c r="R84" s="79"/>
      <c r="S84" s="57"/>
      <c r="T84" s="78"/>
      <c r="U84" s="78"/>
      <c r="V84" s="78"/>
      <c r="W84" s="79"/>
      <c r="X84" s="57"/>
      <c r="Y84" s="78"/>
      <c r="Z84" s="78"/>
      <c r="AA84" s="78"/>
      <c r="AB84" s="79"/>
      <c r="AC84" s="57"/>
      <c r="AD84" s="78"/>
      <c r="AE84" s="78"/>
      <c r="AF84" s="78"/>
      <c r="AG84" s="79"/>
      <c r="AH84" s="57"/>
      <c r="AI84" s="78"/>
      <c r="AJ84" s="78"/>
      <c r="AK84" s="78"/>
      <c r="AL84" s="78"/>
      <c r="AM84" s="190" t="s">
        <v>45</v>
      </c>
      <c r="AN84" s="323"/>
      <c r="AO84" s="323"/>
      <c r="AP84" s="323"/>
      <c r="AQ84" s="324"/>
      <c r="AU84" s="46"/>
      <c r="AV84" s="46"/>
    </row>
    <row r="85" spans="2:48" x14ac:dyDescent="0.2">
      <c r="B85" s="53"/>
      <c r="C85" s="62" t="s">
        <v>44</v>
      </c>
      <c r="D85" s="75"/>
      <c r="E85" s="76"/>
      <c r="F85" s="76"/>
      <c r="G85" s="76"/>
      <c r="H85" s="77"/>
      <c r="I85" s="75"/>
      <c r="J85" s="76"/>
      <c r="K85" s="76"/>
      <c r="L85" s="76"/>
      <c r="M85" s="77"/>
      <c r="N85" s="75"/>
      <c r="O85" s="76"/>
      <c r="P85" s="76"/>
      <c r="Q85" s="76"/>
      <c r="R85" s="77"/>
      <c r="S85" s="75"/>
      <c r="T85" s="76"/>
      <c r="U85" s="76"/>
      <c r="V85" s="76"/>
      <c r="W85" s="77"/>
      <c r="X85" s="75"/>
      <c r="Y85" s="76"/>
      <c r="Z85" s="76"/>
      <c r="AA85" s="76"/>
      <c r="AB85" s="77"/>
      <c r="AC85" s="75"/>
      <c r="AD85" s="76"/>
      <c r="AE85" s="76"/>
      <c r="AF85" s="76"/>
      <c r="AG85" s="77"/>
      <c r="AH85" s="75"/>
      <c r="AI85" s="76"/>
      <c r="AJ85" s="76"/>
      <c r="AK85" s="76"/>
      <c r="AL85" s="76"/>
      <c r="AM85" s="188" t="s">
        <v>44</v>
      </c>
      <c r="AN85" s="386"/>
      <c r="AO85" s="386"/>
      <c r="AP85" s="386"/>
      <c r="AQ85" s="387"/>
      <c r="AU85" s="46"/>
      <c r="AV85" s="46"/>
    </row>
    <row r="86" spans="2:48" ht="13.5" thickBot="1" x14ac:dyDescent="0.25">
      <c r="B86" s="57"/>
      <c r="C86" s="70" t="s">
        <v>45</v>
      </c>
      <c r="D86" s="57"/>
      <c r="E86" s="78"/>
      <c r="F86" s="78"/>
      <c r="G86" s="78"/>
      <c r="H86" s="79"/>
      <c r="I86" s="57"/>
      <c r="J86" s="78"/>
      <c r="K86" s="78"/>
      <c r="L86" s="78"/>
      <c r="M86" s="79"/>
      <c r="N86" s="57"/>
      <c r="O86" s="78"/>
      <c r="P86" s="78"/>
      <c r="Q86" s="78"/>
      <c r="R86" s="79"/>
      <c r="S86" s="57"/>
      <c r="T86" s="78"/>
      <c r="U86" s="78"/>
      <c r="V86" s="78"/>
      <c r="W86" s="79"/>
      <c r="X86" s="57"/>
      <c r="Y86" s="78"/>
      <c r="Z86" s="78"/>
      <c r="AA86" s="78"/>
      <c r="AB86" s="79"/>
      <c r="AC86" s="57"/>
      <c r="AD86" s="78"/>
      <c r="AE86" s="78"/>
      <c r="AF86" s="78"/>
      <c r="AG86" s="79"/>
      <c r="AH86" s="57"/>
      <c r="AI86" s="78"/>
      <c r="AJ86" s="78"/>
      <c r="AK86" s="78"/>
      <c r="AL86" s="78"/>
      <c r="AM86" s="189" t="s">
        <v>45</v>
      </c>
      <c r="AN86" s="338"/>
      <c r="AO86" s="338"/>
      <c r="AP86" s="338"/>
      <c r="AQ86" s="339"/>
      <c r="AU86" s="46"/>
      <c r="AV86" s="46"/>
    </row>
    <row r="87" spans="2:48" x14ac:dyDescent="0.2">
      <c r="B87" s="53"/>
      <c r="C87" s="62" t="s">
        <v>44</v>
      </c>
      <c r="D87" s="75"/>
      <c r="E87" s="76"/>
      <c r="F87" s="76"/>
      <c r="G87" s="76"/>
      <c r="H87" s="77"/>
      <c r="I87" s="75"/>
      <c r="J87" s="76"/>
      <c r="K87" s="76"/>
      <c r="L87" s="76"/>
      <c r="M87" s="77"/>
      <c r="N87" s="75"/>
      <c r="O87" s="76"/>
      <c r="P87" s="76"/>
      <c r="Q87" s="76"/>
      <c r="R87" s="77"/>
      <c r="S87" s="75"/>
      <c r="T87" s="76"/>
      <c r="U87" s="76"/>
      <c r="V87" s="76"/>
      <c r="W87" s="77"/>
      <c r="X87" s="75"/>
      <c r="Y87" s="76"/>
      <c r="Z87" s="76"/>
      <c r="AA87" s="76"/>
      <c r="AB87" s="77"/>
      <c r="AC87" s="75"/>
      <c r="AD87" s="76"/>
      <c r="AE87" s="76"/>
      <c r="AF87" s="76"/>
      <c r="AG87" s="77"/>
      <c r="AH87" s="75"/>
      <c r="AI87" s="76"/>
      <c r="AJ87" s="76"/>
      <c r="AK87" s="76"/>
      <c r="AL87" s="76"/>
      <c r="AM87" s="188" t="s">
        <v>44</v>
      </c>
      <c r="AN87" s="386"/>
      <c r="AO87" s="386"/>
      <c r="AP87" s="386"/>
      <c r="AQ87" s="387"/>
      <c r="AU87" s="46"/>
      <c r="AV87" s="46"/>
    </row>
    <row r="88" spans="2:48" ht="13.5" thickBot="1" x14ac:dyDescent="0.25">
      <c r="B88" s="57"/>
      <c r="C88" s="70" t="s">
        <v>45</v>
      </c>
      <c r="D88" s="57"/>
      <c r="E88" s="78"/>
      <c r="F88" s="78"/>
      <c r="G88" s="78"/>
      <c r="H88" s="79"/>
      <c r="I88" s="57"/>
      <c r="J88" s="78"/>
      <c r="K88" s="78"/>
      <c r="L88" s="78"/>
      <c r="M88" s="79"/>
      <c r="N88" s="57"/>
      <c r="O88" s="78"/>
      <c r="P88" s="78"/>
      <c r="Q88" s="78"/>
      <c r="R88" s="79"/>
      <c r="S88" s="57"/>
      <c r="T88" s="78"/>
      <c r="U88" s="78"/>
      <c r="V88" s="78"/>
      <c r="W88" s="79"/>
      <c r="X88" s="57"/>
      <c r="Y88" s="78"/>
      <c r="Z88" s="78"/>
      <c r="AA88" s="78"/>
      <c r="AB88" s="79"/>
      <c r="AC88" s="57"/>
      <c r="AD88" s="78"/>
      <c r="AE88" s="78"/>
      <c r="AF88" s="78"/>
      <c r="AG88" s="79"/>
      <c r="AH88" s="57"/>
      <c r="AI88" s="78"/>
      <c r="AJ88" s="78"/>
      <c r="AK88" s="78"/>
      <c r="AL88" s="78"/>
      <c r="AM88" s="189" t="s">
        <v>45</v>
      </c>
      <c r="AN88" s="338"/>
      <c r="AO88" s="338"/>
      <c r="AP88" s="338"/>
      <c r="AQ88" s="339"/>
      <c r="AU88" s="46"/>
      <c r="AV88" s="46"/>
    </row>
    <row r="89" spans="2:48" ht="9.9499999999999993" customHeight="1" x14ac:dyDescent="0.2">
      <c r="B89" s="59"/>
      <c r="C89" s="59"/>
      <c r="D89" s="374" t="s">
        <v>46</v>
      </c>
      <c r="E89" s="375"/>
      <c r="F89" s="376"/>
      <c r="G89" s="380" t="s">
        <v>47</v>
      </c>
      <c r="H89" s="381"/>
      <c r="I89" s="381"/>
      <c r="J89" s="381"/>
      <c r="K89" s="381"/>
      <c r="L89" s="381"/>
      <c r="M89" s="381"/>
      <c r="N89" s="381"/>
      <c r="O89" s="382"/>
      <c r="P89" s="359" t="s">
        <v>41</v>
      </c>
      <c r="Q89" s="359" t="s">
        <v>48</v>
      </c>
      <c r="R89" s="52"/>
      <c r="S89" s="374" t="s">
        <v>46</v>
      </c>
      <c r="T89" s="375"/>
      <c r="U89" s="376"/>
      <c r="V89" s="380" t="s">
        <v>47</v>
      </c>
      <c r="W89" s="381"/>
      <c r="X89" s="381"/>
      <c r="Y89" s="381"/>
      <c r="Z89" s="381"/>
      <c r="AA89" s="381"/>
      <c r="AB89" s="381"/>
      <c r="AC89" s="381"/>
      <c r="AD89" s="382"/>
      <c r="AE89" s="359" t="s">
        <v>41</v>
      </c>
      <c r="AF89" s="359" t="s">
        <v>48</v>
      </c>
      <c r="AG89" s="80"/>
      <c r="AH89" s="81"/>
      <c r="AI89" s="81"/>
      <c r="AJ89" s="81"/>
      <c r="AK89" s="81"/>
      <c r="AL89" s="81"/>
      <c r="AM89" s="99"/>
      <c r="AN89" s="373" t="s">
        <v>1</v>
      </c>
      <c r="AO89" s="373"/>
      <c r="AP89" s="373" t="s">
        <v>2</v>
      </c>
      <c r="AQ89" s="373"/>
      <c r="AR89" s="82"/>
      <c r="AU89" s="46"/>
      <c r="AV89" s="46"/>
    </row>
    <row r="90" spans="2:48" ht="13.5" thickBot="1" x14ac:dyDescent="0.25">
      <c r="B90" s="59"/>
      <c r="C90" s="59"/>
      <c r="D90" s="377"/>
      <c r="E90" s="378"/>
      <c r="F90" s="379"/>
      <c r="G90" s="383"/>
      <c r="H90" s="384"/>
      <c r="I90" s="384"/>
      <c r="J90" s="384"/>
      <c r="K90" s="384"/>
      <c r="L90" s="384"/>
      <c r="M90" s="384"/>
      <c r="N90" s="384"/>
      <c r="O90" s="385"/>
      <c r="P90" s="360"/>
      <c r="Q90" s="360"/>
      <c r="R90" s="52"/>
      <c r="S90" s="377"/>
      <c r="T90" s="378"/>
      <c r="U90" s="379"/>
      <c r="V90" s="383"/>
      <c r="W90" s="384"/>
      <c r="X90" s="384"/>
      <c r="Y90" s="384"/>
      <c r="Z90" s="384"/>
      <c r="AA90" s="384"/>
      <c r="AB90" s="384"/>
      <c r="AC90" s="384"/>
      <c r="AD90" s="385"/>
      <c r="AE90" s="360"/>
      <c r="AF90" s="360"/>
      <c r="AG90" s="83"/>
      <c r="AH90" s="52"/>
      <c r="AI90" s="84" t="s">
        <v>49</v>
      </c>
      <c r="AJ90" s="84"/>
      <c r="AK90" s="84"/>
      <c r="AL90" s="84"/>
      <c r="AM90" s="84"/>
      <c r="AN90" s="84"/>
      <c r="AO90" s="85"/>
      <c r="AP90" s="85"/>
      <c r="AQ90" s="86"/>
      <c r="AR90" s="82"/>
      <c r="AU90" s="46"/>
      <c r="AV90" s="46"/>
    </row>
    <row r="91" spans="2:48" ht="13.5" customHeight="1" x14ac:dyDescent="0.2">
      <c r="B91" s="59"/>
      <c r="C91" s="59"/>
      <c r="D91" s="198"/>
      <c r="E91" s="191"/>
      <c r="F91" s="192"/>
      <c r="G91" s="193" t="s">
        <v>50</v>
      </c>
      <c r="H91" s="194"/>
      <c r="I91" s="194"/>
      <c r="J91" s="194"/>
      <c r="K91" s="194"/>
      <c r="L91" s="194"/>
      <c r="M91" s="194"/>
      <c r="N91" s="194"/>
      <c r="O91" s="195"/>
      <c r="P91" s="196"/>
      <c r="Q91" s="196"/>
      <c r="R91" s="197"/>
      <c r="S91" s="198"/>
      <c r="T91" s="191"/>
      <c r="U91" s="192"/>
      <c r="V91" s="193" t="s">
        <v>50</v>
      </c>
      <c r="W91" s="194"/>
      <c r="X91" s="194"/>
      <c r="Y91" s="194"/>
      <c r="Z91" s="194"/>
      <c r="AA91" s="194"/>
      <c r="AB91" s="194"/>
      <c r="AC91" s="194"/>
      <c r="AD91" s="195"/>
      <c r="AE91" s="196"/>
      <c r="AF91" s="196"/>
      <c r="AG91" s="361" t="s">
        <v>68</v>
      </c>
      <c r="AH91" s="362"/>
      <c r="AI91" s="362"/>
      <c r="AJ91" s="363"/>
      <c r="AK91" s="367" t="s">
        <v>51</v>
      </c>
      <c r="AL91" s="368"/>
      <c r="AM91" s="368"/>
      <c r="AN91" s="368"/>
      <c r="AO91" s="368"/>
      <c r="AP91" s="368"/>
      <c r="AQ91" s="369"/>
      <c r="AU91" s="46"/>
      <c r="AV91" s="46"/>
    </row>
    <row r="92" spans="2:48" ht="13.5" customHeight="1" thickBot="1" x14ac:dyDescent="0.25">
      <c r="B92" s="59"/>
      <c r="C92" s="59"/>
      <c r="D92" s="198"/>
      <c r="E92" s="191"/>
      <c r="F92" s="192"/>
      <c r="G92" s="199">
        <v>2</v>
      </c>
      <c r="H92" s="191"/>
      <c r="I92" s="191"/>
      <c r="J92" s="191"/>
      <c r="K92" s="191"/>
      <c r="L92" s="191"/>
      <c r="M92" s="191"/>
      <c r="N92" s="191"/>
      <c r="O92" s="192"/>
      <c r="P92" s="196"/>
      <c r="Q92" s="196"/>
      <c r="R92" s="197"/>
      <c r="S92" s="198"/>
      <c r="T92" s="191"/>
      <c r="U92" s="192"/>
      <c r="V92" s="199">
        <v>2</v>
      </c>
      <c r="W92" s="191"/>
      <c r="X92" s="191"/>
      <c r="Y92" s="191"/>
      <c r="Z92" s="191"/>
      <c r="AA92" s="191"/>
      <c r="AB92" s="191"/>
      <c r="AC92" s="191"/>
      <c r="AD92" s="192"/>
      <c r="AE92" s="196"/>
      <c r="AF92" s="196"/>
      <c r="AG92" s="364"/>
      <c r="AH92" s="365"/>
      <c r="AI92" s="365"/>
      <c r="AJ92" s="366"/>
      <c r="AK92" s="370"/>
      <c r="AL92" s="371"/>
      <c r="AM92" s="371"/>
      <c r="AN92" s="371"/>
      <c r="AO92" s="371"/>
      <c r="AP92" s="371"/>
      <c r="AQ92" s="372"/>
      <c r="AU92" s="46"/>
      <c r="AV92" s="46"/>
    </row>
    <row r="93" spans="2:48" ht="13.5" customHeight="1" x14ac:dyDescent="0.2">
      <c r="B93" s="59"/>
      <c r="C93" s="59"/>
      <c r="D93" s="198"/>
      <c r="E93" s="191"/>
      <c r="F93" s="192"/>
      <c r="G93" s="199">
        <v>3</v>
      </c>
      <c r="H93" s="191"/>
      <c r="I93" s="191"/>
      <c r="J93" s="191"/>
      <c r="K93" s="191"/>
      <c r="L93" s="191"/>
      <c r="M93" s="191"/>
      <c r="N93" s="191"/>
      <c r="O93" s="192"/>
      <c r="P93" s="196"/>
      <c r="Q93" s="196"/>
      <c r="R93" s="197"/>
      <c r="S93" s="198"/>
      <c r="T93" s="191"/>
      <c r="U93" s="192"/>
      <c r="V93" s="199">
        <v>3</v>
      </c>
      <c r="W93" s="191"/>
      <c r="X93" s="191"/>
      <c r="Y93" s="191"/>
      <c r="Z93" s="191"/>
      <c r="AA93" s="191"/>
      <c r="AB93" s="191"/>
      <c r="AC93" s="191"/>
      <c r="AD93" s="192"/>
      <c r="AE93" s="196"/>
      <c r="AF93" s="196"/>
      <c r="AG93" s="361" t="s">
        <v>2</v>
      </c>
      <c r="AH93" s="362"/>
      <c r="AI93" s="362"/>
      <c r="AJ93" s="363"/>
      <c r="AK93" s="367" t="s">
        <v>51</v>
      </c>
      <c r="AL93" s="368"/>
      <c r="AM93" s="368"/>
      <c r="AN93" s="368"/>
      <c r="AO93" s="368"/>
      <c r="AP93" s="368"/>
      <c r="AQ93" s="369"/>
      <c r="AU93" s="46"/>
      <c r="AV93" s="46"/>
    </row>
    <row r="94" spans="2:48" ht="13.5" customHeight="1" thickBot="1" x14ac:dyDescent="0.25">
      <c r="B94" s="59"/>
      <c r="C94" s="59"/>
      <c r="D94" s="198"/>
      <c r="E94" s="191"/>
      <c r="F94" s="192"/>
      <c r="G94" s="199">
        <v>4</v>
      </c>
      <c r="H94" s="191"/>
      <c r="I94" s="191"/>
      <c r="J94" s="191"/>
      <c r="K94" s="191"/>
      <c r="L94" s="191"/>
      <c r="M94" s="191"/>
      <c r="N94" s="191"/>
      <c r="O94" s="192"/>
      <c r="P94" s="196"/>
      <c r="Q94" s="196"/>
      <c r="R94" s="197"/>
      <c r="S94" s="198"/>
      <c r="T94" s="191"/>
      <c r="U94" s="192"/>
      <c r="V94" s="199">
        <v>4</v>
      </c>
      <c r="W94" s="191"/>
      <c r="X94" s="191"/>
      <c r="Y94" s="191"/>
      <c r="Z94" s="191"/>
      <c r="AA94" s="191"/>
      <c r="AB94" s="191"/>
      <c r="AC94" s="191"/>
      <c r="AD94" s="192"/>
      <c r="AE94" s="196"/>
      <c r="AF94" s="196"/>
      <c r="AG94" s="364"/>
      <c r="AH94" s="365"/>
      <c r="AI94" s="365"/>
      <c r="AJ94" s="366"/>
      <c r="AK94" s="370"/>
      <c r="AL94" s="371"/>
      <c r="AM94" s="371"/>
      <c r="AN94" s="371"/>
      <c r="AO94" s="371"/>
      <c r="AP94" s="371"/>
      <c r="AQ94" s="372"/>
      <c r="AU94" s="46"/>
      <c r="AV94" s="46"/>
    </row>
    <row r="95" spans="2:48" ht="13.5" customHeight="1" x14ac:dyDescent="0.2">
      <c r="B95" s="59"/>
      <c r="C95" s="59"/>
      <c r="D95" s="198"/>
      <c r="E95" s="191"/>
      <c r="F95" s="192"/>
      <c r="G95" s="199">
        <v>5</v>
      </c>
      <c r="H95" s="191"/>
      <c r="I95" s="191"/>
      <c r="J95" s="191"/>
      <c r="K95" s="191"/>
      <c r="L95" s="191"/>
      <c r="M95" s="191"/>
      <c r="N95" s="191"/>
      <c r="O95" s="192"/>
      <c r="P95" s="196"/>
      <c r="Q95" s="196"/>
      <c r="R95" s="197"/>
      <c r="S95" s="198"/>
      <c r="T95" s="191"/>
      <c r="U95" s="192"/>
      <c r="V95" s="199">
        <v>5</v>
      </c>
      <c r="W95" s="191"/>
      <c r="X95" s="191"/>
      <c r="Y95" s="191"/>
      <c r="Z95" s="191"/>
      <c r="AA95" s="191"/>
      <c r="AB95" s="191"/>
      <c r="AC95" s="191"/>
      <c r="AD95" s="192"/>
      <c r="AE95" s="196"/>
      <c r="AF95" s="196"/>
      <c r="AG95" s="87" t="s">
        <v>52</v>
      </c>
      <c r="AH95" s="55"/>
      <c r="AI95" s="55"/>
      <c r="AJ95" s="55"/>
      <c r="AK95" s="55"/>
      <c r="AL95" s="55"/>
      <c r="AM95" s="55"/>
      <c r="AN95" s="55"/>
      <c r="AO95" s="55" t="s">
        <v>53</v>
      </c>
      <c r="AP95" s="55"/>
      <c r="AQ95" s="64"/>
      <c r="AU95" s="46"/>
      <c r="AV95" s="46"/>
    </row>
    <row r="96" spans="2:48" ht="13.5" customHeight="1" x14ac:dyDescent="0.2">
      <c r="B96" s="59"/>
      <c r="C96" s="59"/>
      <c r="D96" s="198"/>
      <c r="E96" s="191"/>
      <c r="F96" s="192"/>
      <c r="G96" s="199">
        <v>6</v>
      </c>
      <c r="H96" s="191"/>
      <c r="I96" s="191"/>
      <c r="J96" s="191"/>
      <c r="K96" s="191"/>
      <c r="L96" s="191"/>
      <c r="M96" s="191"/>
      <c r="N96" s="191"/>
      <c r="O96" s="192"/>
      <c r="P96" s="196"/>
      <c r="Q96" s="196"/>
      <c r="R96" s="197"/>
      <c r="S96" s="198"/>
      <c r="T96" s="191"/>
      <c r="U96" s="192"/>
      <c r="V96" s="199">
        <v>6</v>
      </c>
      <c r="W96" s="191"/>
      <c r="X96" s="191"/>
      <c r="Y96" s="191"/>
      <c r="Z96" s="191"/>
      <c r="AA96" s="191"/>
      <c r="AB96" s="191"/>
      <c r="AC96" s="191"/>
      <c r="AD96" s="192"/>
      <c r="AE96" s="196"/>
      <c r="AF96" s="196"/>
      <c r="AG96" s="88"/>
      <c r="AH96" s="52"/>
      <c r="AI96" s="52"/>
      <c r="AJ96" s="52"/>
      <c r="AK96" s="52"/>
      <c r="AL96" s="52"/>
      <c r="AM96" s="52"/>
      <c r="AN96" s="52"/>
      <c r="AO96" s="52"/>
      <c r="AP96" s="52"/>
      <c r="AQ96" s="66"/>
      <c r="AU96" s="46"/>
      <c r="AV96" s="46"/>
    </row>
    <row r="97" spans="2:43" ht="13.5" customHeight="1" thickBot="1" x14ac:dyDescent="0.25">
      <c r="B97" s="59"/>
      <c r="C97" s="59"/>
      <c r="D97" s="198"/>
      <c r="E97" s="191"/>
      <c r="F97" s="192"/>
      <c r="G97" s="199">
        <v>7</v>
      </c>
      <c r="H97" s="191"/>
      <c r="I97" s="191"/>
      <c r="J97" s="191"/>
      <c r="K97" s="191"/>
      <c r="L97" s="191"/>
      <c r="M97" s="191"/>
      <c r="N97" s="191"/>
      <c r="O97" s="192"/>
      <c r="P97" s="196"/>
      <c r="Q97" s="196"/>
      <c r="R97" s="197"/>
      <c r="S97" s="198"/>
      <c r="T97" s="191"/>
      <c r="U97" s="192"/>
      <c r="V97" s="199">
        <v>7</v>
      </c>
      <c r="W97" s="191"/>
      <c r="X97" s="191"/>
      <c r="Y97" s="191"/>
      <c r="Z97" s="191"/>
      <c r="AA97" s="191"/>
      <c r="AB97" s="191"/>
      <c r="AC97" s="191"/>
      <c r="AD97" s="192"/>
      <c r="AE97" s="196"/>
      <c r="AF97" s="196"/>
      <c r="AG97" s="59" t="s">
        <v>54</v>
      </c>
      <c r="AH97" s="52"/>
      <c r="AI97" s="52"/>
      <c r="AJ97" s="52"/>
      <c r="AK97" s="52"/>
      <c r="AL97" s="52"/>
      <c r="AM97" s="52"/>
      <c r="AN97" s="52"/>
      <c r="AO97" s="52"/>
      <c r="AP97" s="52"/>
      <c r="AQ97" s="66"/>
    </row>
    <row r="98" spans="2:43" ht="13.5" customHeight="1" thickBot="1" x14ac:dyDescent="0.25">
      <c r="B98" s="59"/>
      <c r="C98" s="59"/>
      <c r="D98" s="204"/>
      <c r="E98" s="200"/>
      <c r="F98" s="201"/>
      <c r="G98" s="202">
        <v>8</v>
      </c>
      <c r="H98" s="200"/>
      <c r="I98" s="200"/>
      <c r="J98" s="200"/>
      <c r="K98" s="200"/>
      <c r="L98" s="200"/>
      <c r="M98" s="200"/>
      <c r="N98" s="200"/>
      <c r="O98" s="201"/>
      <c r="P98" s="203"/>
      <c r="Q98" s="203"/>
      <c r="R98" s="197"/>
      <c r="S98" s="204"/>
      <c r="T98" s="200"/>
      <c r="U98" s="201"/>
      <c r="V98" s="202">
        <v>8</v>
      </c>
      <c r="W98" s="200"/>
      <c r="X98" s="200"/>
      <c r="Y98" s="200"/>
      <c r="Z98" s="200"/>
      <c r="AA98" s="200"/>
      <c r="AB98" s="200"/>
      <c r="AC98" s="200"/>
      <c r="AD98" s="201"/>
      <c r="AE98" s="203"/>
      <c r="AF98" s="203"/>
      <c r="AG98" s="89" t="s">
        <v>55</v>
      </c>
      <c r="AH98" s="55"/>
      <c r="AI98" s="55"/>
      <c r="AJ98" s="55"/>
      <c r="AK98" s="55"/>
      <c r="AL98" s="55"/>
      <c r="AM98" s="55"/>
      <c r="AN98" s="55"/>
      <c r="AO98" s="55"/>
      <c r="AP98" s="55"/>
      <c r="AQ98" s="64"/>
    </row>
    <row r="99" spans="2:43" ht="13.5" customHeight="1" thickBot="1" x14ac:dyDescent="0.25">
      <c r="B99" s="59"/>
      <c r="C99" s="59"/>
      <c r="D99" s="74"/>
      <c r="E99" s="90"/>
      <c r="F99" s="90"/>
      <c r="G99" s="90"/>
      <c r="H99" s="90"/>
      <c r="I99" s="90"/>
      <c r="J99" s="91" t="s">
        <v>56</v>
      </c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2"/>
      <c r="AG99" s="69" t="s">
        <v>57</v>
      </c>
      <c r="AH99" s="52"/>
      <c r="AI99" s="52"/>
      <c r="AJ99" s="52"/>
      <c r="AK99" s="52"/>
      <c r="AL99" s="52"/>
      <c r="AM99" s="52"/>
      <c r="AN99" s="52"/>
      <c r="AO99" s="52"/>
      <c r="AP99" s="52"/>
      <c r="AQ99" s="66"/>
    </row>
    <row r="100" spans="2:43" ht="13.5" customHeight="1" thickBot="1" x14ac:dyDescent="0.25">
      <c r="B100" s="59"/>
      <c r="C100" s="59"/>
      <c r="D100" s="93" t="s">
        <v>58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2"/>
      <c r="S100" s="93" t="s">
        <v>59</v>
      </c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2"/>
      <c r="AG100" s="94" t="s">
        <v>60</v>
      </c>
      <c r="AH100" s="95"/>
      <c r="AI100" s="95"/>
      <c r="AJ100" s="95"/>
      <c r="AK100" s="95"/>
      <c r="AL100" s="72"/>
      <c r="AM100" s="96" t="s">
        <v>61</v>
      </c>
      <c r="AN100" s="95"/>
      <c r="AO100" s="95"/>
      <c r="AP100" s="95"/>
      <c r="AQ100" s="72"/>
    </row>
    <row r="101" spans="2:43" ht="17.25" customHeight="1" thickBot="1" x14ac:dyDescent="0.25">
      <c r="B101" s="71"/>
      <c r="C101" s="57"/>
      <c r="D101" s="93" t="s">
        <v>62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2"/>
      <c r="S101" s="93" t="s">
        <v>6</v>
      </c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2"/>
      <c r="AG101" s="97" t="s">
        <v>63</v>
      </c>
      <c r="AH101" s="58"/>
      <c r="AI101" s="58"/>
      <c r="AJ101" s="58"/>
      <c r="AK101" s="58"/>
      <c r="AL101" s="72"/>
      <c r="AM101" s="98" t="s">
        <v>64</v>
      </c>
      <c r="AN101" s="58"/>
      <c r="AO101" s="58"/>
      <c r="AP101" s="58"/>
      <c r="AQ101" s="72"/>
    </row>
    <row r="102" spans="2:43" ht="17.25" customHeight="1" x14ac:dyDescent="0.2">
      <c r="B102" s="52"/>
      <c r="C102" s="52"/>
      <c r="D102" s="99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99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100"/>
      <c r="AH102" s="52"/>
      <c r="AI102" s="52"/>
      <c r="AJ102" s="52"/>
      <c r="AK102" s="52"/>
      <c r="AL102" s="52"/>
      <c r="AM102" s="101"/>
      <c r="AN102" s="52"/>
      <c r="AO102" s="52"/>
      <c r="AP102" s="52"/>
      <c r="AQ102" s="52"/>
    </row>
    <row r="103" spans="2:43" ht="15.95" hidden="1" customHeight="1" thickBot="1" x14ac:dyDescent="0.25"/>
    <row r="104" spans="2:43" ht="17.25" hidden="1" customHeight="1" x14ac:dyDescent="0.25">
      <c r="B104" s="53"/>
      <c r="C104" s="53"/>
      <c r="D104" s="54" t="s">
        <v>29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6" t="s">
        <v>73</v>
      </c>
      <c r="Z104" s="55"/>
      <c r="AA104" s="55"/>
      <c r="AB104" s="55"/>
      <c r="AC104" s="55"/>
      <c r="AD104" s="55"/>
      <c r="AE104" s="55"/>
      <c r="AF104" s="55"/>
      <c r="AG104" s="55"/>
      <c r="AH104" s="433" t="s">
        <v>30</v>
      </c>
      <c r="AI104" s="434"/>
      <c r="AJ104" s="434"/>
      <c r="AK104" s="434"/>
      <c r="AL104" s="434"/>
      <c r="AM104" s="435" t="str">
        <f>IF(($AU$9+3)&gt;$AX$9,"",VLOOKUP($AU$9+3,Spielplan,3,0))</f>
        <v/>
      </c>
      <c r="AN104" s="435"/>
      <c r="AO104" s="435"/>
      <c r="AP104" s="435"/>
      <c r="AQ104" s="436"/>
    </row>
    <row r="105" spans="2:43" ht="0.75" hidden="1" customHeight="1" thickBot="1" x14ac:dyDescent="0.25">
      <c r="B105" s="57"/>
      <c r="C105" s="57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9"/>
      <c r="AI105" s="52"/>
      <c r="AJ105" s="52"/>
      <c r="AK105" s="52"/>
      <c r="AL105" s="52"/>
      <c r="AM105" s="60"/>
      <c r="AN105" s="60"/>
      <c r="AO105" s="60"/>
      <c r="AP105" s="60"/>
      <c r="AQ105" s="61"/>
    </row>
    <row r="106" spans="2:43" ht="15" hidden="1" x14ac:dyDescent="0.25">
      <c r="B106" s="53"/>
      <c r="C106" s="62"/>
      <c r="D106" s="53"/>
      <c r="E106" s="63" t="s">
        <v>6</v>
      </c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64"/>
      <c r="S106" s="437" t="s">
        <v>31</v>
      </c>
      <c r="T106" s="438"/>
      <c r="U106" s="438"/>
      <c r="V106" s="438"/>
      <c r="W106" s="438"/>
      <c r="X106" s="438"/>
      <c r="Y106" s="362" t="str">
        <f>IF(($AU$9+3)&gt;$AX$9,"","SHTV")</f>
        <v/>
      </c>
      <c r="Z106" s="362"/>
      <c r="AA106" s="362"/>
      <c r="AB106" s="362"/>
      <c r="AC106" s="362"/>
      <c r="AD106" s="362"/>
      <c r="AE106" s="362"/>
      <c r="AF106" s="362"/>
      <c r="AG106" s="362"/>
      <c r="AH106" s="416" t="s">
        <v>32</v>
      </c>
      <c r="AI106" s="417"/>
      <c r="AJ106" s="417"/>
      <c r="AK106" s="417"/>
      <c r="AL106" s="417"/>
      <c r="AM106" s="420" t="str">
        <f>IF(($AU$9+3)&gt;$AX$9,"",VLOOKUP($AU$9+3,Spielplan,4,0))</f>
        <v/>
      </c>
      <c r="AN106" s="421"/>
      <c r="AO106" s="421"/>
      <c r="AP106" s="421"/>
      <c r="AQ106" s="422"/>
    </row>
    <row r="107" spans="2:43" ht="9.9499999999999993" hidden="1" customHeight="1" x14ac:dyDescent="0.2">
      <c r="B107" s="59"/>
      <c r="C107" s="65"/>
      <c r="D107" s="59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66"/>
      <c r="S107" s="400"/>
      <c r="T107" s="399"/>
      <c r="U107" s="399"/>
      <c r="V107" s="399"/>
      <c r="W107" s="399"/>
      <c r="X107" s="399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18"/>
      <c r="AI107" s="419"/>
      <c r="AJ107" s="419"/>
      <c r="AK107" s="419"/>
      <c r="AL107" s="419"/>
      <c r="AM107" s="423"/>
      <c r="AN107" s="423"/>
      <c r="AO107" s="423"/>
      <c r="AP107" s="423"/>
      <c r="AQ107" s="424"/>
    </row>
    <row r="108" spans="2:43" ht="13.15" hidden="1" customHeight="1" x14ac:dyDescent="0.2">
      <c r="B108" s="59"/>
      <c r="C108" s="65"/>
      <c r="D108" s="59"/>
      <c r="E108" s="52" t="s">
        <v>33</v>
      </c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66"/>
      <c r="S108" s="398" t="s">
        <v>34</v>
      </c>
      <c r="T108" s="399"/>
      <c r="U108" s="399"/>
      <c r="V108" s="399"/>
      <c r="W108" s="399"/>
      <c r="X108" s="399"/>
      <c r="Y108" s="402" t="str">
        <f>IF(($AU$9+3)&gt;$AX$9,"",Platzierung!$U$3)</f>
        <v/>
      </c>
      <c r="Z108" s="402"/>
      <c r="AA108" s="402"/>
      <c r="AB108" s="402"/>
      <c r="AC108" s="402"/>
      <c r="AD108" s="402"/>
      <c r="AE108" s="402"/>
      <c r="AF108" s="402"/>
      <c r="AG108" s="402"/>
      <c r="AH108" s="416" t="s">
        <v>35</v>
      </c>
      <c r="AI108" s="417"/>
      <c r="AJ108" s="417"/>
      <c r="AK108" s="417"/>
      <c r="AL108" s="417"/>
      <c r="AM108" s="420" t="str">
        <f>IF(($AU$9+3)&gt;$AX$9,"",VLOOKUP($AU$9+3,Spielplan,6,0))</f>
        <v/>
      </c>
      <c r="AN108" s="421"/>
      <c r="AO108" s="421"/>
      <c r="AP108" s="421"/>
      <c r="AQ108" s="422"/>
    </row>
    <row r="109" spans="2:43" ht="9.9499999999999993" hidden="1" customHeight="1" x14ac:dyDescent="0.2">
      <c r="B109" s="59"/>
      <c r="C109" s="65"/>
      <c r="D109" s="59"/>
      <c r="E109" s="52"/>
      <c r="F109" s="52"/>
      <c r="G109" s="52"/>
      <c r="H109" s="52"/>
      <c r="I109" s="52"/>
      <c r="J109" s="67" t="s">
        <v>36</v>
      </c>
      <c r="K109" s="52"/>
      <c r="L109" s="52"/>
      <c r="M109" s="52"/>
      <c r="N109" s="52"/>
      <c r="O109" s="52"/>
      <c r="P109" s="52"/>
      <c r="Q109" s="52"/>
      <c r="R109" s="66"/>
      <c r="S109" s="400"/>
      <c r="T109" s="399"/>
      <c r="U109" s="399"/>
      <c r="V109" s="399"/>
      <c r="W109" s="399"/>
      <c r="X109" s="399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18"/>
      <c r="AI109" s="419"/>
      <c r="AJ109" s="419"/>
      <c r="AK109" s="419"/>
      <c r="AL109" s="419"/>
      <c r="AM109" s="423"/>
      <c r="AN109" s="423"/>
      <c r="AO109" s="423"/>
      <c r="AP109" s="423"/>
      <c r="AQ109" s="424"/>
    </row>
    <row r="110" spans="2:43" ht="15.75" hidden="1" customHeight="1" x14ac:dyDescent="0.2">
      <c r="B110" s="59"/>
      <c r="C110" s="65"/>
      <c r="D110" s="394" t="str">
        <f>IF(($AU$9+3)&gt;$AX$9,"",VLOOKUP($AU$9+3,Spielplan,10,0))</f>
        <v/>
      </c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  <c r="P110" s="395"/>
      <c r="Q110" s="395"/>
      <c r="R110" s="396"/>
      <c r="S110" s="398" t="s">
        <v>37</v>
      </c>
      <c r="T110" s="399"/>
      <c r="U110" s="399"/>
      <c r="V110" s="399"/>
      <c r="W110" s="399"/>
      <c r="X110" s="399"/>
      <c r="Y110" s="401" t="str">
        <f>IF(($AU$9+3)&gt;$AX$9,"",VLOOKUP($AU$9+3,Spielplan,2,0))</f>
        <v/>
      </c>
      <c r="Z110" s="402"/>
      <c r="AA110" s="402"/>
      <c r="AB110" s="402"/>
      <c r="AC110" s="402"/>
      <c r="AD110" s="402"/>
      <c r="AE110" s="402"/>
      <c r="AF110" s="402"/>
      <c r="AG110" s="402"/>
      <c r="AH110" s="403" t="s">
        <v>38</v>
      </c>
      <c r="AI110" s="399"/>
      <c r="AJ110" s="399"/>
      <c r="AK110" s="399"/>
      <c r="AL110" s="399"/>
      <c r="AM110" s="425" t="str">
        <f>IF(($AU$9+3)&gt;$AX$9,"",VLOOKUP($AU$9+3,Spielplan,5,0))</f>
        <v/>
      </c>
      <c r="AN110" s="426"/>
      <c r="AO110" s="426"/>
      <c r="AP110" s="426"/>
      <c r="AQ110" s="427"/>
    </row>
    <row r="111" spans="2:43" ht="11.1" hidden="1" customHeight="1" thickBot="1" x14ac:dyDescent="0.25">
      <c r="B111" s="59"/>
      <c r="C111" s="65"/>
      <c r="D111" s="397"/>
      <c r="E111" s="395"/>
      <c r="F111" s="395"/>
      <c r="G111" s="395"/>
      <c r="H111" s="395"/>
      <c r="I111" s="395"/>
      <c r="J111" s="395"/>
      <c r="K111" s="395"/>
      <c r="L111" s="395"/>
      <c r="M111" s="395"/>
      <c r="N111" s="395"/>
      <c r="O111" s="395"/>
      <c r="P111" s="395"/>
      <c r="Q111" s="395"/>
      <c r="R111" s="396"/>
      <c r="S111" s="400"/>
      <c r="T111" s="399"/>
      <c r="U111" s="399"/>
      <c r="V111" s="399"/>
      <c r="W111" s="399"/>
      <c r="X111" s="399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4"/>
      <c r="AI111" s="405"/>
      <c r="AJ111" s="405"/>
      <c r="AK111" s="405"/>
      <c r="AL111" s="405"/>
      <c r="AM111" s="428"/>
      <c r="AN111" s="428"/>
      <c r="AO111" s="428"/>
      <c r="AP111" s="428"/>
      <c r="AQ111" s="429"/>
    </row>
    <row r="112" spans="2:43" ht="11.1" hidden="1" customHeight="1" thickBot="1" x14ac:dyDescent="0.25">
      <c r="B112" s="59"/>
      <c r="C112" s="65"/>
      <c r="D112" s="57"/>
      <c r="E112" s="58"/>
      <c r="F112" s="58"/>
      <c r="G112" s="58"/>
      <c r="H112" s="58"/>
      <c r="I112" s="58"/>
      <c r="J112" s="58" t="s">
        <v>39</v>
      </c>
      <c r="K112" s="58"/>
      <c r="L112" s="58"/>
      <c r="M112" s="58"/>
      <c r="N112" s="58"/>
      <c r="O112" s="52"/>
      <c r="P112" s="52"/>
      <c r="Q112" s="58"/>
      <c r="R112" s="68"/>
      <c r="S112" s="59"/>
      <c r="T112" s="52"/>
      <c r="U112" s="52"/>
      <c r="V112" s="52"/>
      <c r="W112" s="52"/>
      <c r="X112" s="52"/>
      <c r="Y112" s="430"/>
      <c r="Z112" s="430"/>
      <c r="AA112" s="430"/>
      <c r="AB112" s="430"/>
      <c r="AC112" s="430"/>
      <c r="AD112" s="430"/>
      <c r="AE112" s="430"/>
      <c r="AF112" s="431"/>
      <c r="AG112" s="432"/>
      <c r="AH112" s="69" t="s">
        <v>40</v>
      </c>
      <c r="AI112" s="52"/>
      <c r="AJ112" s="52"/>
      <c r="AK112" s="52"/>
      <c r="AL112" s="52"/>
      <c r="AM112" s="52"/>
      <c r="AN112" s="52"/>
      <c r="AO112" s="70"/>
      <c r="AP112" s="52"/>
      <c r="AQ112" s="66"/>
    </row>
    <row r="113" spans="2:44" ht="13.5" hidden="1" customHeight="1" thickBot="1" x14ac:dyDescent="0.3">
      <c r="B113" s="59"/>
      <c r="C113" s="65"/>
      <c r="D113" s="53"/>
      <c r="E113" s="63" t="s">
        <v>8</v>
      </c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388" t="s">
        <v>41</v>
      </c>
      <c r="R113" s="53"/>
      <c r="S113" s="53"/>
      <c r="T113" s="63" t="s">
        <v>7</v>
      </c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64"/>
      <c r="AF113" s="391" t="s">
        <v>41</v>
      </c>
      <c r="AG113" s="59"/>
      <c r="AH113" s="71" t="s">
        <v>42</v>
      </c>
      <c r="AI113" s="58"/>
      <c r="AJ113" s="58"/>
      <c r="AK113" s="58"/>
      <c r="AL113" s="58"/>
      <c r="AM113" s="58"/>
      <c r="AN113" s="58"/>
      <c r="AO113" s="72"/>
      <c r="AP113" s="52"/>
      <c r="AQ113" s="66"/>
    </row>
    <row r="114" spans="2:44" ht="12" hidden="1" customHeight="1" thickBot="1" x14ac:dyDescent="0.25">
      <c r="B114" s="59"/>
      <c r="C114" s="65"/>
      <c r="D114" s="394" t="str">
        <f>IF(($AU$9+3)&gt;$AX$9,"",VLOOKUP($AU$9+3,Spielplan,7,0))</f>
        <v/>
      </c>
      <c r="E114" s="395"/>
      <c r="F114" s="395"/>
      <c r="G114" s="395"/>
      <c r="H114" s="395"/>
      <c r="I114" s="395"/>
      <c r="J114" s="395"/>
      <c r="K114" s="395"/>
      <c r="L114" s="395"/>
      <c r="M114" s="395"/>
      <c r="N114" s="395"/>
      <c r="O114" s="395"/>
      <c r="P114" s="396"/>
      <c r="Q114" s="389"/>
      <c r="R114" s="59"/>
      <c r="S114" s="394" t="str">
        <f>IF(($AU$9+3)&gt;$AX$9,"",VLOOKUP($AU$9+3,Spielplan,9,0))</f>
        <v/>
      </c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409"/>
      <c r="AF114" s="392"/>
      <c r="AG114" s="59"/>
      <c r="AH114" s="410" t="s">
        <v>43</v>
      </c>
      <c r="AI114" s="411"/>
      <c r="AJ114" s="411"/>
      <c r="AK114" s="411"/>
      <c r="AL114" s="411"/>
      <c r="AM114" s="412"/>
      <c r="AN114" s="73" t="s">
        <v>44</v>
      </c>
      <c r="AO114" s="74"/>
      <c r="AP114" s="74"/>
      <c r="AQ114" s="72"/>
    </row>
    <row r="115" spans="2:44" ht="12" hidden="1" customHeight="1" thickBot="1" x14ac:dyDescent="0.25">
      <c r="B115" s="57"/>
      <c r="C115" s="70"/>
      <c r="D115" s="406"/>
      <c r="E115" s="407"/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8"/>
      <c r="Q115" s="390"/>
      <c r="R115" s="57"/>
      <c r="S115" s="406"/>
      <c r="T115" s="407"/>
      <c r="U115" s="407"/>
      <c r="V115" s="407"/>
      <c r="W115" s="407"/>
      <c r="X115" s="407"/>
      <c r="Y115" s="407"/>
      <c r="Z115" s="407"/>
      <c r="AA115" s="407"/>
      <c r="AB115" s="407"/>
      <c r="AC115" s="407"/>
      <c r="AD115" s="407"/>
      <c r="AE115" s="385"/>
      <c r="AF115" s="393"/>
      <c r="AG115" s="57"/>
      <c r="AH115" s="413"/>
      <c r="AI115" s="414"/>
      <c r="AJ115" s="414"/>
      <c r="AK115" s="414"/>
      <c r="AL115" s="414"/>
      <c r="AM115" s="415"/>
      <c r="AN115" s="73" t="s">
        <v>45</v>
      </c>
      <c r="AO115" s="74"/>
      <c r="AP115" s="74"/>
      <c r="AQ115" s="72"/>
    </row>
    <row r="116" spans="2:44" ht="9.9499999999999993" hidden="1" customHeight="1" thickBot="1" x14ac:dyDescent="0.25">
      <c r="B116" s="59"/>
      <c r="C116" s="59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66"/>
    </row>
    <row r="117" spans="2:44" hidden="1" x14ac:dyDescent="0.2">
      <c r="B117" s="53"/>
      <c r="C117" s="62" t="s">
        <v>44</v>
      </c>
      <c r="D117" s="75"/>
      <c r="E117" s="76"/>
      <c r="F117" s="76"/>
      <c r="G117" s="76"/>
      <c r="H117" s="77"/>
      <c r="I117" s="75"/>
      <c r="J117" s="76"/>
      <c r="K117" s="76"/>
      <c r="L117" s="76"/>
      <c r="M117" s="77"/>
      <c r="N117" s="75"/>
      <c r="O117" s="76"/>
      <c r="P117" s="76"/>
      <c r="Q117" s="76"/>
      <c r="R117" s="77"/>
      <c r="S117" s="75"/>
      <c r="T117" s="76"/>
      <c r="U117" s="76"/>
      <c r="V117" s="76"/>
      <c r="W117" s="77"/>
      <c r="X117" s="75"/>
      <c r="Y117" s="76"/>
      <c r="Z117" s="76"/>
      <c r="AA117" s="76"/>
      <c r="AB117" s="77"/>
      <c r="AC117" s="75"/>
      <c r="AD117" s="76"/>
      <c r="AE117" s="76"/>
      <c r="AF117" s="76"/>
      <c r="AG117" s="77"/>
      <c r="AH117" s="75"/>
      <c r="AI117" s="76"/>
      <c r="AJ117" s="76"/>
      <c r="AK117" s="76"/>
      <c r="AL117" s="76"/>
      <c r="AM117" s="188" t="s">
        <v>44</v>
      </c>
      <c r="AN117" s="386"/>
      <c r="AO117" s="386"/>
      <c r="AP117" s="386"/>
      <c r="AQ117" s="387"/>
    </row>
    <row r="118" spans="2:44" ht="13.5" hidden="1" thickBot="1" x14ac:dyDescent="0.25">
      <c r="B118" s="57"/>
      <c r="C118" s="70" t="s">
        <v>45</v>
      </c>
      <c r="D118" s="57"/>
      <c r="E118" s="78"/>
      <c r="F118" s="78"/>
      <c r="G118" s="78"/>
      <c r="H118" s="79"/>
      <c r="I118" s="57"/>
      <c r="J118" s="78"/>
      <c r="K118" s="78"/>
      <c r="L118" s="78"/>
      <c r="M118" s="79"/>
      <c r="N118" s="57"/>
      <c r="O118" s="78"/>
      <c r="P118" s="78"/>
      <c r="Q118" s="78"/>
      <c r="R118" s="79"/>
      <c r="S118" s="57"/>
      <c r="T118" s="78"/>
      <c r="U118" s="78"/>
      <c r="V118" s="78"/>
      <c r="W118" s="79"/>
      <c r="X118" s="57"/>
      <c r="Y118" s="78"/>
      <c r="Z118" s="78"/>
      <c r="AA118" s="78"/>
      <c r="AB118" s="79"/>
      <c r="AC118" s="57"/>
      <c r="AD118" s="78"/>
      <c r="AE118" s="78"/>
      <c r="AF118" s="78"/>
      <c r="AG118" s="79"/>
      <c r="AH118" s="57"/>
      <c r="AI118" s="78"/>
      <c r="AJ118" s="78"/>
      <c r="AK118" s="78"/>
      <c r="AL118" s="78"/>
      <c r="AM118" s="190" t="s">
        <v>45</v>
      </c>
      <c r="AN118" s="323"/>
      <c r="AO118" s="323"/>
      <c r="AP118" s="323"/>
      <c r="AQ118" s="324"/>
    </row>
    <row r="119" spans="2:44" hidden="1" x14ac:dyDescent="0.2">
      <c r="B119" s="53"/>
      <c r="C119" s="62" t="s">
        <v>44</v>
      </c>
      <c r="D119" s="75"/>
      <c r="E119" s="76"/>
      <c r="F119" s="76"/>
      <c r="G119" s="76"/>
      <c r="H119" s="77"/>
      <c r="I119" s="75"/>
      <c r="J119" s="76"/>
      <c r="K119" s="76"/>
      <c r="L119" s="76"/>
      <c r="M119" s="77"/>
      <c r="N119" s="75"/>
      <c r="O119" s="76"/>
      <c r="P119" s="76"/>
      <c r="Q119" s="76"/>
      <c r="R119" s="77"/>
      <c r="S119" s="75"/>
      <c r="T119" s="76"/>
      <c r="U119" s="76"/>
      <c r="V119" s="76"/>
      <c r="W119" s="77"/>
      <c r="X119" s="75"/>
      <c r="Y119" s="76"/>
      <c r="Z119" s="76"/>
      <c r="AA119" s="76"/>
      <c r="AB119" s="77"/>
      <c r="AC119" s="75"/>
      <c r="AD119" s="76"/>
      <c r="AE119" s="76"/>
      <c r="AF119" s="76"/>
      <c r="AG119" s="77"/>
      <c r="AH119" s="75"/>
      <c r="AI119" s="76"/>
      <c r="AJ119" s="76"/>
      <c r="AK119" s="76"/>
      <c r="AL119" s="76"/>
      <c r="AM119" s="188" t="s">
        <v>44</v>
      </c>
      <c r="AN119" s="386"/>
      <c r="AO119" s="386"/>
      <c r="AP119" s="386"/>
      <c r="AQ119" s="387"/>
    </row>
    <row r="120" spans="2:44" ht="13.5" hidden="1" thickBot="1" x14ac:dyDescent="0.25">
      <c r="B120" s="57"/>
      <c r="C120" s="70" t="s">
        <v>45</v>
      </c>
      <c r="D120" s="57"/>
      <c r="E120" s="78"/>
      <c r="F120" s="78"/>
      <c r="G120" s="78"/>
      <c r="H120" s="79"/>
      <c r="I120" s="57"/>
      <c r="J120" s="78"/>
      <c r="K120" s="78"/>
      <c r="L120" s="78"/>
      <c r="M120" s="79"/>
      <c r="N120" s="57"/>
      <c r="O120" s="78"/>
      <c r="P120" s="78"/>
      <c r="Q120" s="78"/>
      <c r="R120" s="79"/>
      <c r="S120" s="57"/>
      <c r="T120" s="78"/>
      <c r="U120" s="78"/>
      <c r="V120" s="78"/>
      <c r="W120" s="79"/>
      <c r="X120" s="57"/>
      <c r="Y120" s="78"/>
      <c r="Z120" s="78"/>
      <c r="AA120" s="78"/>
      <c r="AB120" s="79"/>
      <c r="AC120" s="57"/>
      <c r="AD120" s="78"/>
      <c r="AE120" s="78"/>
      <c r="AF120" s="78"/>
      <c r="AG120" s="79"/>
      <c r="AH120" s="57"/>
      <c r="AI120" s="78"/>
      <c r="AJ120" s="78"/>
      <c r="AK120" s="78"/>
      <c r="AL120" s="78"/>
      <c r="AM120" s="189" t="s">
        <v>45</v>
      </c>
      <c r="AN120" s="338"/>
      <c r="AO120" s="338"/>
      <c r="AP120" s="338"/>
      <c r="AQ120" s="339"/>
    </row>
    <row r="121" spans="2:44" hidden="1" x14ac:dyDescent="0.2">
      <c r="B121" s="53"/>
      <c r="C121" s="62" t="s">
        <v>44</v>
      </c>
      <c r="D121" s="75"/>
      <c r="E121" s="76"/>
      <c r="F121" s="76"/>
      <c r="G121" s="76"/>
      <c r="H121" s="77"/>
      <c r="I121" s="75"/>
      <c r="J121" s="76"/>
      <c r="K121" s="76"/>
      <c r="L121" s="76"/>
      <c r="M121" s="77"/>
      <c r="N121" s="75"/>
      <c r="O121" s="76"/>
      <c r="P121" s="76"/>
      <c r="Q121" s="76"/>
      <c r="R121" s="77"/>
      <c r="S121" s="75"/>
      <c r="T121" s="76"/>
      <c r="U121" s="76"/>
      <c r="V121" s="76"/>
      <c r="W121" s="77"/>
      <c r="X121" s="75"/>
      <c r="Y121" s="76"/>
      <c r="Z121" s="76"/>
      <c r="AA121" s="76"/>
      <c r="AB121" s="77"/>
      <c r="AC121" s="75"/>
      <c r="AD121" s="76"/>
      <c r="AE121" s="76"/>
      <c r="AF121" s="76"/>
      <c r="AG121" s="77"/>
      <c r="AH121" s="75"/>
      <c r="AI121" s="76"/>
      <c r="AJ121" s="76"/>
      <c r="AK121" s="76"/>
      <c r="AL121" s="76"/>
      <c r="AM121" s="188" t="s">
        <v>44</v>
      </c>
      <c r="AN121" s="386"/>
      <c r="AO121" s="386"/>
      <c r="AP121" s="386"/>
      <c r="AQ121" s="387"/>
    </row>
    <row r="122" spans="2:44" ht="13.5" hidden="1" thickBot="1" x14ac:dyDescent="0.25">
      <c r="B122" s="57"/>
      <c r="C122" s="70" t="s">
        <v>45</v>
      </c>
      <c r="D122" s="57"/>
      <c r="E122" s="78"/>
      <c r="F122" s="78"/>
      <c r="G122" s="78"/>
      <c r="H122" s="79"/>
      <c r="I122" s="57"/>
      <c r="J122" s="78"/>
      <c r="K122" s="78"/>
      <c r="L122" s="78"/>
      <c r="M122" s="79"/>
      <c r="N122" s="57"/>
      <c r="O122" s="78"/>
      <c r="P122" s="78"/>
      <c r="Q122" s="78"/>
      <c r="R122" s="79"/>
      <c r="S122" s="57"/>
      <c r="T122" s="78"/>
      <c r="U122" s="78"/>
      <c r="V122" s="78"/>
      <c r="W122" s="79"/>
      <c r="X122" s="57"/>
      <c r="Y122" s="78"/>
      <c r="Z122" s="78"/>
      <c r="AA122" s="78"/>
      <c r="AB122" s="79"/>
      <c r="AC122" s="57"/>
      <c r="AD122" s="78"/>
      <c r="AE122" s="78"/>
      <c r="AF122" s="78"/>
      <c r="AG122" s="79"/>
      <c r="AH122" s="57"/>
      <c r="AI122" s="78"/>
      <c r="AJ122" s="78"/>
      <c r="AK122" s="78"/>
      <c r="AL122" s="78"/>
      <c r="AM122" s="189" t="s">
        <v>45</v>
      </c>
      <c r="AN122" s="338"/>
      <c r="AO122" s="338"/>
      <c r="AP122" s="338"/>
      <c r="AQ122" s="339"/>
    </row>
    <row r="123" spans="2:44" ht="9.9499999999999993" hidden="1" customHeight="1" x14ac:dyDescent="0.2">
      <c r="B123" s="59"/>
      <c r="C123" s="59"/>
      <c r="D123" s="374" t="s">
        <v>46</v>
      </c>
      <c r="E123" s="375"/>
      <c r="F123" s="376"/>
      <c r="G123" s="380" t="s">
        <v>47</v>
      </c>
      <c r="H123" s="381"/>
      <c r="I123" s="381"/>
      <c r="J123" s="381"/>
      <c r="K123" s="381"/>
      <c r="L123" s="381"/>
      <c r="M123" s="381"/>
      <c r="N123" s="381"/>
      <c r="O123" s="382"/>
      <c r="P123" s="359" t="s">
        <v>41</v>
      </c>
      <c r="Q123" s="359" t="s">
        <v>48</v>
      </c>
      <c r="R123" s="52"/>
      <c r="S123" s="374" t="s">
        <v>46</v>
      </c>
      <c r="T123" s="375"/>
      <c r="U123" s="376"/>
      <c r="V123" s="380" t="s">
        <v>47</v>
      </c>
      <c r="W123" s="381"/>
      <c r="X123" s="381"/>
      <c r="Y123" s="381"/>
      <c r="Z123" s="381"/>
      <c r="AA123" s="381"/>
      <c r="AB123" s="381"/>
      <c r="AC123" s="381"/>
      <c r="AD123" s="382"/>
      <c r="AE123" s="359" t="s">
        <v>41</v>
      </c>
      <c r="AF123" s="359" t="s">
        <v>48</v>
      </c>
      <c r="AG123" s="80"/>
      <c r="AH123" s="81"/>
      <c r="AI123" s="81"/>
      <c r="AJ123" s="81"/>
      <c r="AK123" s="81"/>
      <c r="AL123" s="81"/>
      <c r="AM123" s="99"/>
      <c r="AN123" s="373" t="s">
        <v>1</v>
      </c>
      <c r="AO123" s="373"/>
      <c r="AP123" s="373" t="s">
        <v>2</v>
      </c>
      <c r="AQ123" s="373"/>
      <c r="AR123" s="82"/>
    </row>
    <row r="124" spans="2:44" ht="13.5" hidden="1" thickBot="1" x14ac:dyDescent="0.25">
      <c r="B124" s="59"/>
      <c r="C124" s="59"/>
      <c r="D124" s="377"/>
      <c r="E124" s="378"/>
      <c r="F124" s="379"/>
      <c r="G124" s="383"/>
      <c r="H124" s="384"/>
      <c r="I124" s="384"/>
      <c r="J124" s="384"/>
      <c r="K124" s="384"/>
      <c r="L124" s="384"/>
      <c r="M124" s="384"/>
      <c r="N124" s="384"/>
      <c r="O124" s="385"/>
      <c r="P124" s="360"/>
      <c r="Q124" s="360"/>
      <c r="R124" s="52"/>
      <c r="S124" s="377"/>
      <c r="T124" s="378"/>
      <c r="U124" s="379"/>
      <c r="V124" s="383"/>
      <c r="W124" s="384"/>
      <c r="X124" s="384"/>
      <c r="Y124" s="384"/>
      <c r="Z124" s="384"/>
      <c r="AA124" s="384"/>
      <c r="AB124" s="384"/>
      <c r="AC124" s="384"/>
      <c r="AD124" s="385"/>
      <c r="AE124" s="360"/>
      <c r="AF124" s="360"/>
      <c r="AG124" s="83"/>
      <c r="AH124" s="52"/>
      <c r="AI124" s="84" t="s">
        <v>49</v>
      </c>
      <c r="AJ124" s="84"/>
      <c r="AK124" s="84"/>
      <c r="AL124" s="84"/>
      <c r="AM124" s="84"/>
      <c r="AN124" s="84"/>
      <c r="AO124" s="85"/>
      <c r="AP124" s="85"/>
      <c r="AQ124" s="86"/>
      <c r="AR124" s="82"/>
    </row>
    <row r="125" spans="2:44" ht="13.5" hidden="1" customHeight="1" x14ac:dyDescent="0.2">
      <c r="B125" s="59"/>
      <c r="C125" s="59"/>
      <c r="D125" s="198"/>
      <c r="E125" s="191"/>
      <c r="F125" s="192"/>
      <c r="G125" s="193" t="s">
        <v>50</v>
      </c>
      <c r="H125" s="194"/>
      <c r="I125" s="194"/>
      <c r="J125" s="194"/>
      <c r="K125" s="194"/>
      <c r="L125" s="194"/>
      <c r="M125" s="194"/>
      <c r="N125" s="194"/>
      <c r="O125" s="195"/>
      <c r="P125" s="196"/>
      <c r="Q125" s="196"/>
      <c r="R125" s="197"/>
      <c r="S125" s="198"/>
      <c r="T125" s="191"/>
      <c r="U125" s="192"/>
      <c r="V125" s="193" t="s">
        <v>50</v>
      </c>
      <c r="W125" s="194"/>
      <c r="X125" s="194"/>
      <c r="Y125" s="194"/>
      <c r="Z125" s="194"/>
      <c r="AA125" s="194"/>
      <c r="AB125" s="194"/>
      <c r="AC125" s="194"/>
      <c r="AD125" s="195"/>
      <c r="AE125" s="196"/>
      <c r="AF125" s="196"/>
      <c r="AG125" s="361" t="s">
        <v>68</v>
      </c>
      <c r="AH125" s="362"/>
      <c r="AI125" s="362"/>
      <c r="AJ125" s="363"/>
      <c r="AK125" s="367" t="s">
        <v>51</v>
      </c>
      <c r="AL125" s="368"/>
      <c r="AM125" s="368"/>
      <c r="AN125" s="368"/>
      <c r="AO125" s="368"/>
      <c r="AP125" s="368"/>
      <c r="AQ125" s="369"/>
    </row>
    <row r="126" spans="2:44" ht="13.5" hidden="1" customHeight="1" thickBot="1" x14ac:dyDescent="0.25">
      <c r="B126" s="59"/>
      <c r="C126" s="59"/>
      <c r="D126" s="198"/>
      <c r="E126" s="191"/>
      <c r="F126" s="192"/>
      <c r="G126" s="199">
        <v>2</v>
      </c>
      <c r="H126" s="191"/>
      <c r="I126" s="191"/>
      <c r="J126" s="191"/>
      <c r="K126" s="191"/>
      <c r="L126" s="191"/>
      <c r="M126" s="191"/>
      <c r="N126" s="191"/>
      <c r="O126" s="192"/>
      <c r="P126" s="196"/>
      <c r="Q126" s="196"/>
      <c r="R126" s="197"/>
      <c r="S126" s="198"/>
      <c r="T126" s="191"/>
      <c r="U126" s="192"/>
      <c r="V126" s="199">
        <v>2</v>
      </c>
      <c r="W126" s="191"/>
      <c r="X126" s="191"/>
      <c r="Y126" s="191"/>
      <c r="Z126" s="191"/>
      <c r="AA126" s="191"/>
      <c r="AB126" s="191"/>
      <c r="AC126" s="191"/>
      <c r="AD126" s="192"/>
      <c r="AE126" s="196"/>
      <c r="AF126" s="196"/>
      <c r="AG126" s="364"/>
      <c r="AH126" s="365"/>
      <c r="AI126" s="365"/>
      <c r="AJ126" s="366"/>
      <c r="AK126" s="370"/>
      <c r="AL126" s="371"/>
      <c r="AM126" s="371"/>
      <c r="AN126" s="371"/>
      <c r="AO126" s="371"/>
      <c r="AP126" s="371"/>
      <c r="AQ126" s="372"/>
    </row>
    <row r="127" spans="2:44" ht="13.5" hidden="1" customHeight="1" x14ac:dyDescent="0.2">
      <c r="B127" s="59"/>
      <c r="C127" s="59"/>
      <c r="D127" s="198"/>
      <c r="E127" s="191"/>
      <c r="F127" s="192"/>
      <c r="G127" s="199">
        <v>3</v>
      </c>
      <c r="H127" s="191"/>
      <c r="I127" s="191"/>
      <c r="J127" s="191"/>
      <c r="K127" s="191"/>
      <c r="L127" s="191"/>
      <c r="M127" s="191"/>
      <c r="N127" s="191"/>
      <c r="O127" s="192"/>
      <c r="P127" s="196"/>
      <c r="Q127" s="196"/>
      <c r="R127" s="197"/>
      <c r="S127" s="198"/>
      <c r="T127" s="191"/>
      <c r="U127" s="192"/>
      <c r="V127" s="199">
        <v>3</v>
      </c>
      <c r="W127" s="191"/>
      <c r="X127" s="191"/>
      <c r="Y127" s="191"/>
      <c r="Z127" s="191"/>
      <c r="AA127" s="191"/>
      <c r="AB127" s="191"/>
      <c r="AC127" s="191"/>
      <c r="AD127" s="192"/>
      <c r="AE127" s="196"/>
      <c r="AF127" s="196"/>
      <c r="AG127" s="361" t="s">
        <v>2</v>
      </c>
      <c r="AH127" s="362"/>
      <c r="AI127" s="362"/>
      <c r="AJ127" s="363"/>
      <c r="AK127" s="367" t="s">
        <v>51</v>
      </c>
      <c r="AL127" s="368"/>
      <c r="AM127" s="368"/>
      <c r="AN127" s="368"/>
      <c r="AO127" s="368"/>
      <c r="AP127" s="368"/>
      <c r="AQ127" s="369"/>
    </row>
    <row r="128" spans="2:44" ht="13.5" hidden="1" customHeight="1" thickBot="1" x14ac:dyDescent="0.25">
      <c r="B128" s="59"/>
      <c r="C128" s="59"/>
      <c r="D128" s="198"/>
      <c r="E128" s="191"/>
      <c r="F128" s="192"/>
      <c r="G128" s="199">
        <v>4</v>
      </c>
      <c r="H128" s="191"/>
      <c r="I128" s="191"/>
      <c r="J128" s="191"/>
      <c r="K128" s="191"/>
      <c r="L128" s="191"/>
      <c r="M128" s="191"/>
      <c r="N128" s="191"/>
      <c r="O128" s="192"/>
      <c r="P128" s="196"/>
      <c r="Q128" s="196"/>
      <c r="R128" s="197"/>
      <c r="S128" s="198"/>
      <c r="T128" s="191"/>
      <c r="U128" s="192"/>
      <c r="V128" s="199">
        <v>4</v>
      </c>
      <c r="W128" s="191"/>
      <c r="X128" s="191"/>
      <c r="Y128" s="191"/>
      <c r="Z128" s="191"/>
      <c r="AA128" s="191"/>
      <c r="AB128" s="191"/>
      <c r="AC128" s="191"/>
      <c r="AD128" s="192"/>
      <c r="AE128" s="196"/>
      <c r="AF128" s="196"/>
      <c r="AG128" s="364"/>
      <c r="AH128" s="365"/>
      <c r="AI128" s="365"/>
      <c r="AJ128" s="366"/>
      <c r="AK128" s="370"/>
      <c r="AL128" s="371"/>
      <c r="AM128" s="371"/>
      <c r="AN128" s="371"/>
      <c r="AO128" s="371"/>
      <c r="AP128" s="371"/>
      <c r="AQ128" s="372"/>
    </row>
    <row r="129" spans="2:43" ht="13.5" hidden="1" customHeight="1" x14ac:dyDescent="0.2">
      <c r="B129" s="59"/>
      <c r="C129" s="59"/>
      <c r="D129" s="198"/>
      <c r="E129" s="191"/>
      <c r="F129" s="192"/>
      <c r="G129" s="199">
        <v>5</v>
      </c>
      <c r="H129" s="191"/>
      <c r="I129" s="191"/>
      <c r="J129" s="191"/>
      <c r="K129" s="191"/>
      <c r="L129" s="191"/>
      <c r="M129" s="191"/>
      <c r="N129" s="191"/>
      <c r="O129" s="192"/>
      <c r="P129" s="196"/>
      <c r="Q129" s="196"/>
      <c r="R129" s="197"/>
      <c r="S129" s="198"/>
      <c r="T129" s="191"/>
      <c r="U129" s="192"/>
      <c r="V129" s="199">
        <v>5</v>
      </c>
      <c r="W129" s="191"/>
      <c r="X129" s="191"/>
      <c r="Y129" s="191"/>
      <c r="Z129" s="191"/>
      <c r="AA129" s="191"/>
      <c r="AB129" s="191"/>
      <c r="AC129" s="191"/>
      <c r="AD129" s="192"/>
      <c r="AE129" s="196"/>
      <c r="AF129" s="196"/>
      <c r="AG129" s="87" t="s">
        <v>52</v>
      </c>
      <c r="AH129" s="55"/>
      <c r="AI129" s="55"/>
      <c r="AJ129" s="55"/>
      <c r="AK129" s="55"/>
      <c r="AL129" s="55"/>
      <c r="AM129" s="55"/>
      <c r="AN129" s="55"/>
      <c r="AO129" s="55" t="s">
        <v>53</v>
      </c>
      <c r="AP129" s="55"/>
      <c r="AQ129" s="64"/>
    </row>
    <row r="130" spans="2:43" ht="13.5" hidden="1" customHeight="1" x14ac:dyDescent="0.2">
      <c r="B130" s="59"/>
      <c r="C130" s="59"/>
      <c r="D130" s="198"/>
      <c r="E130" s="191"/>
      <c r="F130" s="192"/>
      <c r="G130" s="199">
        <v>6</v>
      </c>
      <c r="H130" s="191"/>
      <c r="I130" s="191"/>
      <c r="J130" s="191"/>
      <c r="K130" s="191"/>
      <c r="L130" s="191"/>
      <c r="M130" s="191"/>
      <c r="N130" s="191"/>
      <c r="O130" s="192"/>
      <c r="P130" s="196"/>
      <c r="Q130" s="196"/>
      <c r="R130" s="197"/>
      <c r="S130" s="198"/>
      <c r="T130" s="191"/>
      <c r="U130" s="192"/>
      <c r="V130" s="199">
        <v>6</v>
      </c>
      <c r="W130" s="191"/>
      <c r="X130" s="191"/>
      <c r="Y130" s="191"/>
      <c r="Z130" s="191"/>
      <c r="AA130" s="191"/>
      <c r="AB130" s="191"/>
      <c r="AC130" s="191"/>
      <c r="AD130" s="192"/>
      <c r="AE130" s="196"/>
      <c r="AF130" s="196"/>
      <c r="AG130" s="88"/>
      <c r="AH130" s="52"/>
      <c r="AI130" s="52"/>
      <c r="AJ130" s="52"/>
      <c r="AK130" s="52"/>
      <c r="AL130" s="52"/>
      <c r="AM130" s="52"/>
      <c r="AN130" s="52"/>
      <c r="AO130" s="52"/>
      <c r="AP130" s="52"/>
      <c r="AQ130" s="66"/>
    </row>
    <row r="131" spans="2:43" ht="13.5" hidden="1" customHeight="1" thickBot="1" x14ac:dyDescent="0.25">
      <c r="B131" s="59"/>
      <c r="C131" s="59"/>
      <c r="D131" s="198"/>
      <c r="E131" s="191"/>
      <c r="F131" s="192"/>
      <c r="G131" s="199">
        <v>7</v>
      </c>
      <c r="H131" s="191"/>
      <c r="I131" s="191"/>
      <c r="J131" s="191"/>
      <c r="K131" s="191"/>
      <c r="L131" s="191"/>
      <c r="M131" s="191"/>
      <c r="N131" s="191"/>
      <c r="O131" s="192"/>
      <c r="P131" s="196"/>
      <c r="Q131" s="196"/>
      <c r="R131" s="197"/>
      <c r="S131" s="198"/>
      <c r="T131" s="191"/>
      <c r="U131" s="192"/>
      <c r="V131" s="199">
        <v>7</v>
      </c>
      <c r="W131" s="191"/>
      <c r="X131" s="191"/>
      <c r="Y131" s="191"/>
      <c r="Z131" s="191"/>
      <c r="AA131" s="191"/>
      <c r="AB131" s="191"/>
      <c r="AC131" s="191"/>
      <c r="AD131" s="192"/>
      <c r="AE131" s="196"/>
      <c r="AF131" s="196"/>
      <c r="AG131" s="59" t="s">
        <v>54</v>
      </c>
      <c r="AH131" s="52"/>
      <c r="AI131" s="52"/>
      <c r="AJ131" s="52"/>
      <c r="AK131" s="52"/>
      <c r="AL131" s="52"/>
      <c r="AM131" s="52"/>
      <c r="AN131" s="52"/>
      <c r="AO131" s="52"/>
      <c r="AP131" s="52"/>
      <c r="AQ131" s="66"/>
    </row>
    <row r="132" spans="2:43" ht="13.5" hidden="1" customHeight="1" thickBot="1" x14ac:dyDescent="0.25">
      <c r="B132" s="59"/>
      <c r="C132" s="59"/>
      <c r="D132" s="204"/>
      <c r="E132" s="200"/>
      <c r="F132" s="201"/>
      <c r="G132" s="202">
        <v>8</v>
      </c>
      <c r="H132" s="200"/>
      <c r="I132" s="200"/>
      <c r="J132" s="200"/>
      <c r="K132" s="200"/>
      <c r="L132" s="200"/>
      <c r="M132" s="200"/>
      <c r="N132" s="200"/>
      <c r="O132" s="201"/>
      <c r="P132" s="203"/>
      <c r="Q132" s="203"/>
      <c r="R132" s="197"/>
      <c r="S132" s="204"/>
      <c r="T132" s="200"/>
      <c r="U132" s="201"/>
      <c r="V132" s="202">
        <v>8</v>
      </c>
      <c r="W132" s="200"/>
      <c r="X132" s="200"/>
      <c r="Y132" s="200"/>
      <c r="Z132" s="200"/>
      <c r="AA132" s="200"/>
      <c r="AB132" s="200"/>
      <c r="AC132" s="200"/>
      <c r="AD132" s="201"/>
      <c r="AE132" s="203"/>
      <c r="AF132" s="203"/>
      <c r="AG132" s="89" t="s">
        <v>55</v>
      </c>
      <c r="AH132" s="55"/>
      <c r="AI132" s="55"/>
      <c r="AJ132" s="55"/>
      <c r="AK132" s="55"/>
      <c r="AL132" s="55"/>
      <c r="AM132" s="55"/>
      <c r="AN132" s="55"/>
      <c r="AO132" s="55"/>
      <c r="AP132" s="55"/>
      <c r="AQ132" s="64"/>
    </row>
    <row r="133" spans="2:43" ht="13.5" hidden="1" customHeight="1" thickBot="1" x14ac:dyDescent="0.25">
      <c r="B133" s="59"/>
      <c r="C133" s="59"/>
      <c r="D133" s="74"/>
      <c r="E133" s="90"/>
      <c r="F133" s="90"/>
      <c r="G133" s="90"/>
      <c r="H133" s="90"/>
      <c r="I133" s="90"/>
      <c r="J133" s="91" t="s">
        <v>56</v>
      </c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2"/>
      <c r="AG133" s="69" t="s">
        <v>57</v>
      </c>
      <c r="AH133" s="52"/>
      <c r="AI133" s="52"/>
      <c r="AJ133" s="52"/>
      <c r="AK133" s="52"/>
      <c r="AL133" s="52"/>
      <c r="AM133" s="52"/>
      <c r="AN133" s="52"/>
      <c r="AO133" s="52"/>
      <c r="AP133" s="52"/>
      <c r="AQ133" s="66"/>
    </row>
    <row r="134" spans="2:43" ht="13.5" hidden="1" customHeight="1" thickBot="1" x14ac:dyDescent="0.25">
      <c r="B134" s="59"/>
      <c r="C134" s="59"/>
      <c r="D134" s="93" t="s">
        <v>58</v>
      </c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2"/>
      <c r="S134" s="93" t="s">
        <v>59</v>
      </c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2"/>
      <c r="AG134" s="94" t="s">
        <v>60</v>
      </c>
      <c r="AH134" s="95"/>
      <c r="AI134" s="95"/>
      <c r="AJ134" s="95"/>
      <c r="AK134" s="95"/>
      <c r="AL134" s="72"/>
      <c r="AM134" s="96" t="s">
        <v>61</v>
      </c>
      <c r="AN134" s="95"/>
      <c r="AO134" s="95"/>
      <c r="AP134" s="95"/>
      <c r="AQ134" s="72"/>
    </row>
    <row r="135" spans="2:43" ht="17.25" hidden="1" customHeight="1" thickBot="1" x14ac:dyDescent="0.25">
      <c r="B135" s="57"/>
      <c r="C135" s="57"/>
      <c r="D135" s="93" t="s">
        <v>62</v>
      </c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2"/>
      <c r="S135" s="93" t="s">
        <v>6</v>
      </c>
      <c r="T135" s="90"/>
      <c r="U135" s="90"/>
      <c r="V135" s="90"/>
      <c r="W135" s="90"/>
      <c r="X135" s="90"/>
      <c r="Y135" s="90"/>
      <c r="Z135" s="90"/>
      <c r="AA135" s="90"/>
      <c r="AB135" s="90"/>
      <c r="AC135" s="90"/>
      <c r="AD135" s="90"/>
      <c r="AE135" s="90"/>
      <c r="AF135" s="92"/>
      <c r="AG135" s="97" t="s">
        <v>63</v>
      </c>
      <c r="AH135" s="58"/>
      <c r="AI135" s="58"/>
      <c r="AJ135" s="58"/>
      <c r="AK135" s="58"/>
      <c r="AL135" s="72"/>
      <c r="AM135" s="98" t="s">
        <v>64</v>
      </c>
      <c r="AN135" s="58"/>
      <c r="AO135" s="58"/>
      <c r="AP135" s="58"/>
      <c r="AQ135" s="72"/>
    </row>
    <row r="136" spans="2:43" hidden="1" x14ac:dyDescent="0.2"/>
    <row r="137" spans="2:43" ht="15.75" hidden="1" customHeight="1" thickBot="1" x14ac:dyDescent="0.25">
      <c r="AA137" s="52"/>
      <c r="AB137" s="52"/>
      <c r="AC137" s="52"/>
      <c r="AD137" s="52"/>
      <c r="AE137" s="52"/>
      <c r="AF137" s="52"/>
      <c r="AG137" s="52"/>
      <c r="AH137" s="52"/>
    </row>
    <row r="138" spans="2:43" ht="17.25" hidden="1" customHeight="1" x14ac:dyDescent="0.25">
      <c r="B138" s="53"/>
      <c r="C138" s="53"/>
      <c r="D138" s="54" t="s">
        <v>29</v>
      </c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6" t="s">
        <v>73</v>
      </c>
      <c r="Z138" s="55"/>
      <c r="AA138" s="55"/>
      <c r="AB138" s="55"/>
      <c r="AC138" s="55"/>
      <c r="AD138" s="55"/>
      <c r="AE138" s="55"/>
      <c r="AF138" s="55"/>
      <c r="AG138" s="55"/>
      <c r="AH138" s="433" t="s">
        <v>30</v>
      </c>
      <c r="AI138" s="434"/>
      <c r="AJ138" s="434"/>
      <c r="AK138" s="434"/>
      <c r="AL138" s="434"/>
      <c r="AM138" s="435" t="str">
        <f>IF(($AU$9+4)&gt;$AX$9,"",VLOOKUP($AU$9+4,Spielplan,3,0))</f>
        <v/>
      </c>
      <c r="AN138" s="435"/>
      <c r="AO138" s="435"/>
      <c r="AP138" s="435"/>
      <c r="AQ138" s="436"/>
    </row>
    <row r="139" spans="2:43" ht="0.75" hidden="1" customHeight="1" thickBot="1" x14ac:dyDescent="0.25">
      <c r="B139" s="57"/>
      <c r="C139" s="57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9"/>
      <c r="AI139" s="52"/>
      <c r="AJ139" s="52"/>
      <c r="AK139" s="52"/>
      <c r="AL139" s="52"/>
      <c r="AM139" s="60"/>
      <c r="AN139" s="60"/>
      <c r="AO139" s="60"/>
      <c r="AP139" s="60"/>
      <c r="AQ139" s="61"/>
    </row>
    <row r="140" spans="2:43" ht="15" hidden="1" x14ac:dyDescent="0.25">
      <c r="B140" s="53"/>
      <c r="C140" s="62"/>
      <c r="D140" s="53"/>
      <c r="E140" s="63" t="s">
        <v>6</v>
      </c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64"/>
      <c r="S140" s="437" t="s">
        <v>31</v>
      </c>
      <c r="T140" s="438"/>
      <c r="U140" s="438"/>
      <c r="V140" s="438"/>
      <c r="W140" s="438"/>
      <c r="X140" s="438"/>
      <c r="Y140" s="362" t="str">
        <f>IF(($AU$9+4)&gt;$AX$9,"","SHTV")</f>
        <v/>
      </c>
      <c r="Z140" s="362"/>
      <c r="AA140" s="362"/>
      <c r="AB140" s="362"/>
      <c r="AC140" s="362"/>
      <c r="AD140" s="362"/>
      <c r="AE140" s="362"/>
      <c r="AF140" s="362"/>
      <c r="AG140" s="362"/>
      <c r="AH140" s="416" t="s">
        <v>32</v>
      </c>
      <c r="AI140" s="417"/>
      <c r="AJ140" s="417"/>
      <c r="AK140" s="417"/>
      <c r="AL140" s="417"/>
      <c r="AM140" s="420" t="str">
        <f>IF(($AU$9+4)&gt;$AX$9,"",VLOOKUP($AU$9+4,Spielplan,4,0))</f>
        <v/>
      </c>
      <c r="AN140" s="421"/>
      <c r="AO140" s="421"/>
      <c r="AP140" s="421"/>
      <c r="AQ140" s="422"/>
    </row>
    <row r="141" spans="2:43" ht="9.9499999999999993" hidden="1" customHeight="1" x14ac:dyDescent="0.2">
      <c r="B141" s="59"/>
      <c r="C141" s="65"/>
      <c r="D141" s="59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66"/>
      <c r="S141" s="400"/>
      <c r="T141" s="399"/>
      <c r="U141" s="399"/>
      <c r="V141" s="399"/>
      <c r="W141" s="399"/>
      <c r="X141" s="399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18"/>
      <c r="AI141" s="419"/>
      <c r="AJ141" s="419"/>
      <c r="AK141" s="419"/>
      <c r="AL141" s="419"/>
      <c r="AM141" s="423"/>
      <c r="AN141" s="423"/>
      <c r="AO141" s="423"/>
      <c r="AP141" s="423"/>
      <c r="AQ141" s="424"/>
    </row>
    <row r="142" spans="2:43" ht="13.15" hidden="1" customHeight="1" x14ac:dyDescent="0.2">
      <c r="B142" s="59"/>
      <c r="C142" s="65"/>
      <c r="D142" s="59"/>
      <c r="E142" s="52" t="s">
        <v>33</v>
      </c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66"/>
      <c r="S142" s="398" t="s">
        <v>34</v>
      </c>
      <c r="T142" s="399"/>
      <c r="U142" s="399"/>
      <c r="V142" s="399"/>
      <c r="W142" s="399"/>
      <c r="X142" s="399"/>
      <c r="Y142" s="402" t="str">
        <f>IF(($AU$9+4)&gt;$AX$9,"",Platzierung!$U$3)</f>
        <v/>
      </c>
      <c r="Z142" s="402"/>
      <c r="AA142" s="402"/>
      <c r="AB142" s="402"/>
      <c r="AC142" s="402"/>
      <c r="AD142" s="402"/>
      <c r="AE142" s="402"/>
      <c r="AF142" s="402"/>
      <c r="AG142" s="402"/>
      <c r="AH142" s="416" t="s">
        <v>35</v>
      </c>
      <c r="AI142" s="417"/>
      <c r="AJ142" s="417"/>
      <c r="AK142" s="417"/>
      <c r="AL142" s="417"/>
      <c r="AM142" s="420" t="str">
        <f>IF(($AU$9+4)&gt;$AX$9,"",VLOOKUP($AU$9+4,Spielplan,6,0))</f>
        <v/>
      </c>
      <c r="AN142" s="421"/>
      <c r="AO142" s="421"/>
      <c r="AP142" s="421"/>
      <c r="AQ142" s="422"/>
    </row>
    <row r="143" spans="2:43" ht="9.9499999999999993" hidden="1" customHeight="1" x14ac:dyDescent="0.2">
      <c r="B143" s="59"/>
      <c r="C143" s="65"/>
      <c r="D143" s="59"/>
      <c r="E143" s="52"/>
      <c r="F143" s="52"/>
      <c r="G143" s="52"/>
      <c r="H143" s="52"/>
      <c r="I143" s="52"/>
      <c r="J143" s="67" t="s">
        <v>36</v>
      </c>
      <c r="K143" s="52"/>
      <c r="L143" s="52"/>
      <c r="M143" s="52"/>
      <c r="N143" s="52"/>
      <c r="O143" s="52"/>
      <c r="P143" s="52"/>
      <c r="Q143" s="52"/>
      <c r="R143" s="66"/>
      <c r="S143" s="400"/>
      <c r="T143" s="399"/>
      <c r="U143" s="399"/>
      <c r="V143" s="399"/>
      <c r="W143" s="399"/>
      <c r="X143" s="399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18"/>
      <c r="AI143" s="419"/>
      <c r="AJ143" s="419"/>
      <c r="AK143" s="419"/>
      <c r="AL143" s="419"/>
      <c r="AM143" s="423"/>
      <c r="AN143" s="423"/>
      <c r="AO143" s="423"/>
      <c r="AP143" s="423"/>
      <c r="AQ143" s="424"/>
    </row>
    <row r="144" spans="2:43" ht="15.75" hidden="1" customHeight="1" x14ac:dyDescent="0.2">
      <c r="B144" s="59"/>
      <c r="C144" s="65"/>
      <c r="D144" s="394" t="str">
        <f>IF(($AU$9+4)&gt;$AX$9,"",VLOOKUP($AU$9+4,Spielplan,10,0))</f>
        <v/>
      </c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6"/>
      <c r="S144" s="398" t="s">
        <v>37</v>
      </c>
      <c r="T144" s="399"/>
      <c r="U144" s="399"/>
      <c r="V144" s="399"/>
      <c r="W144" s="399"/>
      <c r="X144" s="399"/>
      <c r="Y144" s="401" t="str">
        <f>IF(($AU$9+4)&gt;$AX$9,"",VLOOKUP($AU$9+4,Spielplan,2,0))</f>
        <v/>
      </c>
      <c r="Z144" s="402"/>
      <c r="AA144" s="402"/>
      <c r="AB144" s="402"/>
      <c r="AC144" s="402"/>
      <c r="AD144" s="402"/>
      <c r="AE144" s="402"/>
      <c r="AF144" s="402"/>
      <c r="AG144" s="402"/>
      <c r="AH144" s="403" t="s">
        <v>38</v>
      </c>
      <c r="AI144" s="399"/>
      <c r="AJ144" s="399"/>
      <c r="AK144" s="399"/>
      <c r="AL144" s="399"/>
      <c r="AM144" s="425" t="str">
        <f>IF(($AU$9+4)&gt;$AX$9,"",VLOOKUP($AU$9+4,Spielplan,5,0))</f>
        <v/>
      </c>
      <c r="AN144" s="426"/>
      <c r="AO144" s="426"/>
      <c r="AP144" s="426"/>
      <c r="AQ144" s="427"/>
    </row>
    <row r="145" spans="2:49" ht="11.1" hidden="1" customHeight="1" thickBot="1" x14ac:dyDescent="0.25">
      <c r="B145" s="59"/>
      <c r="C145" s="65"/>
      <c r="D145" s="397"/>
      <c r="E145" s="395"/>
      <c r="F145" s="395"/>
      <c r="G145" s="395"/>
      <c r="H145" s="395"/>
      <c r="I145" s="395"/>
      <c r="J145" s="395"/>
      <c r="K145" s="395"/>
      <c r="L145" s="395"/>
      <c r="M145" s="395"/>
      <c r="N145" s="395"/>
      <c r="O145" s="395"/>
      <c r="P145" s="395"/>
      <c r="Q145" s="395"/>
      <c r="R145" s="396"/>
      <c r="S145" s="400"/>
      <c r="T145" s="399"/>
      <c r="U145" s="399"/>
      <c r="V145" s="399"/>
      <c r="W145" s="399"/>
      <c r="X145" s="399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4"/>
      <c r="AI145" s="405"/>
      <c r="AJ145" s="405"/>
      <c r="AK145" s="405"/>
      <c r="AL145" s="405"/>
      <c r="AM145" s="428"/>
      <c r="AN145" s="428"/>
      <c r="AO145" s="428"/>
      <c r="AP145" s="428"/>
      <c r="AQ145" s="429"/>
    </row>
    <row r="146" spans="2:49" ht="11.1" hidden="1" customHeight="1" thickBot="1" x14ac:dyDescent="0.25">
      <c r="B146" s="59"/>
      <c r="C146" s="65"/>
      <c r="D146" s="57"/>
      <c r="E146" s="58"/>
      <c r="F146" s="58"/>
      <c r="G146" s="58"/>
      <c r="H146" s="58"/>
      <c r="I146" s="58"/>
      <c r="J146" s="58" t="s">
        <v>39</v>
      </c>
      <c r="K146" s="58"/>
      <c r="L146" s="58"/>
      <c r="M146" s="58"/>
      <c r="N146" s="58"/>
      <c r="O146" s="52"/>
      <c r="P146" s="52"/>
      <c r="Q146" s="58"/>
      <c r="R146" s="68"/>
      <c r="S146" s="59"/>
      <c r="T146" s="52"/>
      <c r="U146" s="52"/>
      <c r="V146" s="52"/>
      <c r="W146" s="52"/>
      <c r="X146" s="52"/>
      <c r="Y146" s="430"/>
      <c r="Z146" s="430"/>
      <c r="AA146" s="430"/>
      <c r="AB146" s="430"/>
      <c r="AC146" s="430"/>
      <c r="AD146" s="430"/>
      <c r="AE146" s="430"/>
      <c r="AF146" s="431"/>
      <c r="AG146" s="432"/>
      <c r="AH146" s="69" t="s">
        <v>40</v>
      </c>
      <c r="AI146" s="52"/>
      <c r="AJ146" s="52"/>
      <c r="AK146" s="52"/>
      <c r="AL146" s="52"/>
      <c r="AM146" s="52"/>
      <c r="AN146" s="52"/>
      <c r="AO146" s="70"/>
      <c r="AP146" s="52"/>
      <c r="AQ146" s="66"/>
    </row>
    <row r="147" spans="2:49" ht="13.5" hidden="1" customHeight="1" thickBot="1" x14ac:dyDescent="0.3">
      <c r="B147" s="59"/>
      <c r="C147" s="65"/>
      <c r="D147" s="53"/>
      <c r="E147" s="63" t="s">
        <v>8</v>
      </c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388" t="s">
        <v>41</v>
      </c>
      <c r="R147" s="53"/>
      <c r="S147" s="53"/>
      <c r="T147" s="63" t="s">
        <v>7</v>
      </c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64"/>
      <c r="AF147" s="391" t="s">
        <v>41</v>
      </c>
      <c r="AG147" s="59"/>
      <c r="AH147" s="71" t="s">
        <v>42</v>
      </c>
      <c r="AI147" s="58"/>
      <c r="AJ147" s="58"/>
      <c r="AK147" s="58"/>
      <c r="AL147" s="58"/>
      <c r="AM147" s="58"/>
      <c r="AN147" s="58"/>
      <c r="AO147" s="72"/>
      <c r="AP147" s="52"/>
      <c r="AQ147" s="66"/>
    </row>
    <row r="148" spans="2:49" ht="12" hidden="1" customHeight="1" thickBot="1" x14ac:dyDescent="0.25">
      <c r="B148" s="59"/>
      <c r="C148" s="65"/>
      <c r="D148" s="394" t="str">
        <f>IF(($AU$9+4)&gt;$AX$9,"",VLOOKUP($AU$9+4,Spielplan,7,0))</f>
        <v/>
      </c>
      <c r="E148" s="395"/>
      <c r="F148" s="395"/>
      <c r="G148" s="395"/>
      <c r="H148" s="395"/>
      <c r="I148" s="395"/>
      <c r="J148" s="395"/>
      <c r="K148" s="395"/>
      <c r="L148" s="395"/>
      <c r="M148" s="395"/>
      <c r="N148" s="395"/>
      <c r="O148" s="395"/>
      <c r="P148" s="396"/>
      <c r="Q148" s="389"/>
      <c r="R148" s="59"/>
      <c r="S148" s="394" t="str">
        <f>IF(($AU$9+4)&gt;$AX$9,"",VLOOKUP($AU$9+4,Spielplan,9,0))</f>
        <v/>
      </c>
      <c r="T148" s="395"/>
      <c r="U148" s="395"/>
      <c r="V148" s="395"/>
      <c r="W148" s="395"/>
      <c r="X148" s="395"/>
      <c r="Y148" s="395"/>
      <c r="Z148" s="395"/>
      <c r="AA148" s="395"/>
      <c r="AB148" s="395"/>
      <c r="AC148" s="395"/>
      <c r="AD148" s="395"/>
      <c r="AE148" s="409"/>
      <c r="AF148" s="392"/>
      <c r="AG148" s="59"/>
      <c r="AH148" s="410" t="s">
        <v>43</v>
      </c>
      <c r="AI148" s="411"/>
      <c r="AJ148" s="411"/>
      <c r="AK148" s="411"/>
      <c r="AL148" s="411"/>
      <c r="AM148" s="412"/>
      <c r="AN148" s="73" t="s">
        <v>44</v>
      </c>
      <c r="AO148" s="74"/>
      <c r="AP148" s="74"/>
      <c r="AQ148" s="72"/>
    </row>
    <row r="149" spans="2:49" ht="12" hidden="1" customHeight="1" thickBot="1" x14ac:dyDescent="0.25">
      <c r="B149" s="57"/>
      <c r="C149" s="70"/>
      <c r="D149" s="406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8"/>
      <c r="Q149" s="390"/>
      <c r="R149" s="57"/>
      <c r="S149" s="406"/>
      <c r="T149" s="407"/>
      <c r="U149" s="407"/>
      <c r="V149" s="407"/>
      <c r="W149" s="407"/>
      <c r="X149" s="407"/>
      <c r="Y149" s="407"/>
      <c r="Z149" s="407"/>
      <c r="AA149" s="407"/>
      <c r="AB149" s="407"/>
      <c r="AC149" s="407"/>
      <c r="AD149" s="407"/>
      <c r="AE149" s="385"/>
      <c r="AF149" s="393"/>
      <c r="AG149" s="57"/>
      <c r="AH149" s="413"/>
      <c r="AI149" s="414"/>
      <c r="AJ149" s="414"/>
      <c r="AK149" s="414"/>
      <c r="AL149" s="414"/>
      <c r="AM149" s="415"/>
      <c r="AN149" s="73" t="s">
        <v>45</v>
      </c>
      <c r="AO149" s="74"/>
      <c r="AP149" s="74"/>
      <c r="AQ149" s="72"/>
      <c r="AU149" s="46"/>
      <c r="AV149" s="46"/>
      <c r="AW149" s="46"/>
    </row>
    <row r="150" spans="2:49" ht="9.9499999999999993" hidden="1" customHeight="1" thickBot="1" x14ac:dyDescent="0.25">
      <c r="B150" s="59"/>
      <c r="C150" s="5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66"/>
      <c r="AU150" s="46"/>
      <c r="AV150" s="46"/>
      <c r="AW150" s="46"/>
    </row>
    <row r="151" spans="2:49" hidden="1" x14ac:dyDescent="0.2">
      <c r="B151" s="53"/>
      <c r="C151" s="62" t="s">
        <v>44</v>
      </c>
      <c r="D151" s="75"/>
      <c r="E151" s="76"/>
      <c r="F151" s="76"/>
      <c r="G151" s="76"/>
      <c r="H151" s="77"/>
      <c r="I151" s="75"/>
      <c r="J151" s="76"/>
      <c r="K151" s="76"/>
      <c r="L151" s="76"/>
      <c r="M151" s="77"/>
      <c r="N151" s="75"/>
      <c r="O151" s="76"/>
      <c r="P151" s="76"/>
      <c r="Q151" s="76"/>
      <c r="R151" s="77"/>
      <c r="S151" s="75"/>
      <c r="T151" s="76"/>
      <c r="U151" s="76"/>
      <c r="V151" s="76"/>
      <c r="W151" s="77"/>
      <c r="X151" s="75"/>
      <c r="Y151" s="76"/>
      <c r="Z151" s="76"/>
      <c r="AA151" s="76"/>
      <c r="AB151" s="77"/>
      <c r="AC151" s="75"/>
      <c r="AD151" s="76"/>
      <c r="AE151" s="76"/>
      <c r="AF151" s="76"/>
      <c r="AG151" s="77"/>
      <c r="AH151" s="75"/>
      <c r="AI151" s="76"/>
      <c r="AJ151" s="76"/>
      <c r="AK151" s="76"/>
      <c r="AL151" s="76"/>
      <c r="AM151" s="188" t="s">
        <v>44</v>
      </c>
      <c r="AN151" s="386"/>
      <c r="AO151" s="386"/>
      <c r="AP151" s="386"/>
      <c r="AQ151" s="387"/>
      <c r="AU151" s="46"/>
      <c r="AV151" s="46"/>
      <c r="AW151" s="46"/>
    </row>
    <row r="152" spans="2:49" ht="13.5" hidden="1" thickBot="1" x14ac:dyDescent="0.25">
      <c r="B152" s="57"/>
      <c r="C152" s="70" t="s">
        <v>45</v>
      </c>
      <c r="D152" s="57"/>
      <c r="E152" s="78"/>
      <c r="F152" s="78"/>
      <c r="G152" s="78"/>
      <c r="H152" s="79"/>
      <c r="I152" s="57"/>
      <c r="J152" s="78"/>
      <c r="K152" s="78"/>
      <c r="L152" s="78"/>
      <c r="M152" s="79"/>
      <c r="N152" s="57"/>
      <c r="O152" s="78"/>
      <c r="P152" s="78"/>
      <c r="Q152" s="78"/>
      <c r="R152" s="79"/>
      <c r="S152" s="57"/>
      <c r="T152" s="78"/>
      <c r="U152" s="78"/>
      <c r="V152" s="78"/>
      <c r="W152" s="79"/>
      <c r="X152" s="57"/>
      <c r="Y152" s="78"/>
      <c r="Z152" s="78"/>
      <c r="AA152" s="78"/>
      <c r="AB152" s="79"/>
      <c r="AC152" s="57"/>
      <c r="AD152" s="78"/>
      <c r="AE152" s="78"/>
      <c r="AF152" s="78"/>
      <c r="AG152" s="79"/>
      <c r="AH152" s="57"/>
      <c r="AI152" s="78"/>
      <c r="AJ152" s="78"/>
      <c r="AK152" s="78"/>
      <c r="AL152" s="78"/>
      <c r="AM152" s="190" t="s">
        <v>45</v>
      </c>
      <c r="AN152" s="323"/>
      <c r="AO152" s="323"/>
      <c r="AP152" s="323"/>
      <c r="AQ152" s="324"/>
      <c r="AU152" s="46"/>
      <c r="AV152" s="46"/>
      <c r="AW152" s="46"/>
    </row>
    <row r="153" spans="2:49" hidden="1" x14ac:dyDescent="0.2">
      <c r="B153" s="53"/>
      <c r="C153" s="62" t="s">
        <v>44</v>
      </c>
      <c r="D153" s="75"/>
      <c r="E153" s="76"/>
      <c r="F153" s="76"/>
      <c r="G153" s="76"/>
      <c r="H153" s="77"/>
      <c r="I153" s="75"/>
      <c r="J153" s="76"/>
      <c r="K153" s="76"/>
      <c r="L153" s="76"/>
      <c r="M153" s="77"/>
      <c r="N153" s="75"/>
      <c r="O153" s="76"/>
      <c r="P153" s="76"/>
      <c r="Q153" s="76"/>
      <c r="R153" s="77"/>
      <c r="S153" s="75"/>
      <c r="T153" s="76"/>
      <c r="U153" s="76"/>
      <c r="V153" s="76"/>
      <c r="W153" s="77"/>
      <c r="X153" s="75"/>
      <c r="Y153" s="76"/>
      <c r="Z153" s="76"/>
      <c r="AA153" s="76"/>
      <c r="AB153" s="77"/>
      <c r="AC153" s="75"/>
      <c r="AD153" s="76"/>
      <c r="AE153" s="76"/>
      <c r="AF153" s="76"/>
      <c r="AG153" s="77"/>
      <c r="AH153" s="75"/>
      <c r="AI153" s="76"/>
      <c r="AJ153" s="76"/>
      <c r="AK153" s="76"/>
      <c r="AL153" s="76"/>
      <c r="AM153" s="188" t="s">
        <v>44</v>
      </c>
      <c r="AN153" s="386"/>
      <c r="AO153" s="386"/>
      <c r="AP153" s="386"/>
      <c r="AQ153" s="387"/>
      <c r="AU153" s="46"/>
      <c r="AV153" s="46"/>
      <c r="AW153" s="46"/>
    </row>
    <row r="154" spans="2:49" ht="13.5" hidden="1" thickBot="1" x14ac:dyDescent="0.25">
      <c r="B154" s="57"/>
      <c r="C154" s="70" t="s">
        <v>45</v>
      </c>
      <c r="D154" s="57"/>
      <c r="E154" s="78"/>
      <c r="F154" s="78"/>
      <c r="G154" s="78"/>
      <c r="H154" s="79"/>
      <c r="I154" s="57"/>
      <c r="J154" s="78"/>
      <c r="K154" s="78"/>
      <c r="L154" s="78"/>
      <c r="M154" s="79"/>
      <c r="N154" s="57"/>
      <c r="O154" s="78"/>
      <c r="P154" s="78"/>
      <c r="Q154" s="78"/>
      <c r="R154" s="79"/>
      <c r="S154" s="57"/>
      <c r="T154" s="78"/>
      <c r="U154" s="78"/>
      <c r="V154" s="78"/>
      <c r="W154" s="79"/>
      <c r="X154" s="57"/>
      <c r="Y154" s="78"/>
      <c r="Z154" s="78"/>
      <c r="AA154" s="78"/>
      <c r="AB154" s="79"/>
      <c r="AC154" s="57"/>
      <c r="AD154" s="78"/>
      <c r="AE154" s="78"/>
      <c r="AF154" s="78"/>
      <c r="AG154" s="79"/>
      <c r="AH154" s="57"/>
      <c r="AI154" s="78"/>
      <c r="AJ154" s="78"/>
      <c r="AK154" s="78"/>
      <c r="AL154" s="78"/>
      <c r="AM154" s="189" t="s">
        <v>45</v>
      </c>
      <c r="AN154" s="338"/>
      <c r="AO154" s="338"/>
      <c r="AP154" s="338"/>
      <c r="AQ154" s="339"/>
      <c r="AU154" s="46"/>
      <c r="AV154" s="46"/>
      <c r="AW154" s="46"/>
    </row>
    <row r="155" spans="2:49" hidden="1" x14ac:dyDescent="0.2">
      <c r="B155" s="53"/>
      <c r="C155" s="62" t="s">
        <v>44</v>
      </c>
      <c r="D155" s="75"/>
      <c r="E155" s="76"/>
      <c r="F155" s="76"/>
      <c r="G155" s="76"/>
      <c r="H155" s="77"/>
      <c r="I155" s="75"/>
      <c r="J155" s="76"/>
      <c r="K155" s="76"/>
      <c r="L155" s="76"/>
      <c r="M155" s="77"/>
      <c r="N155" s="75"/>
      <c r="O155" s="76"/>
      <c r="P155" s="76"/>
      <c r="Q155" s="76"/>
      <c r="R155" s="77"/>
      <c r="S155" s="75"/>
      <c r="T155" s="76"/>
      <c r="U155" s="76"/>
      <c r="V155" s="76"/>
      <c r="W155" s="77"/>
      <c r="X155" s="75"/>
      <c r="Y155" s="76"/>
      <c r="Z155" s="76"/>
      <c r="AA155" s="76"/>
      <c r="AB155" s="77"/>
      <c r="AC155" s="75"/>
      <c r="AD155" s="76"/>
      <c r="AE155" s="76"/>
      <c r="AF155" s="76"/>
      <c r="AG155" s="77"/>
      <c r="AH155" s="75"/>
      <c r="AI155" s="76"/>
      <c r="AJ155" s="76"/>
      <c r="AK155" s="76"/>
      <c r="AL155" s="76"/>
      <c r="AM155" s="188" t="s">
        <v>44</v>
      </c>
      <c r="AN155" s="386"/>
      <c r="AO155" s="386"/>
      <c r="AP155" s="386"/>
      <c r="AQ155" s="387"/>
      <c r="AU155" s="46"/>
      <c r="AV155" s="46"/>
      <c r="AW155" s="46"/>
    </row>
    <row r="156" spans="2:49" ht="13.5" hidden="1" thickBot="1" x14ac:dyDescent="0.25">
      <c r="B156" s="57"/>
      <c r="C156" s="70" t="s">
        <v>45</v>
      </c>
      <c r="D156" s="57"/>
      <c r="E156" s="78"/>
      <c r="F156" s="78"/>
      <c r="G156" s="78"/>
      <c r="H156" s="79"/>
      <c r="I156" s="57"/>
      <c r="J156" s="78"/>
      <c r="K156" s="78"/>
      <c r="L156" s="78"/>
      <c r="M156" s="79"/>
      <c r="N156" s="57"/>
      <c r="O156" s="78"/>
      <c r="P156" s="78"/>
      <c r="Q156" s="78"/>
      <c r="R156" s="79"/>
      <c r="S156" s="57"/>
      <c r="T156" s="78"/>
      <c r="U156" s="78"/>
      <c r="V156" s="78"/>
      <c r="W156" s="79"/>
      <c r="X156" s="57"/>
      <c r="Y156" s="78"/>
      <c r="Z156" s="78"/>
      <c r="AA156" s="78"/>
      <c r="AB156" s="79"/>
      <c r="AC156" s="57"/>
      <c r="AD156" s="78"/>
      <c r="AE156" s="78"/>
      <c r="AF156" s="78"/>
      <c r="AG156" s="79"/>
      <c r="AH156" s="57"/>
      <c r="AI156" s="78"/>
      <c r="AJ156" s="78"/>
      <c r="AK156" s="78"/>
      <c r="AL156" s="78"/>
      <c r="AM156" s="189" t="s">
        <v>45</v>
      </c>
      <c r="AN156" s="338"/>
      <c r="AO156" s="338"/>
      <c r="AP156" s="338"/>
      <c r="AQ156" s="339"/>
      <c r="AU156" s="46"/>
      <c r="AV156" s="46"/>
      <c r="AW156" s="46"/>
    </row>
    <row r="157" spans="2:49" ht="9.9499999999999993" hidden="1" customHeight="1" x14ac:dyDescent="0.2">
      <c r="B157" s="59"/>
      <c r="C157" s="59"/>
      <c r="D157" s="374" t="s">
        <v>46</v>
      </c>
      <c r="E157" s="375"/>
      <c r="F157" s="376"/>
      <c r="G157" s="380" t="s">
        <v>47</v>
      </c>
      <c r="H157" s="381"/>
      <c r="I157" s="381"/>
      <c r="J157" s="381"/>
      <c r="K157" s="381"/>
      <c r="L157" s="381"/>
      <c r="M157" s="381"/>
      <c r="N157" s="381"/>
      <c r="O157" s="382"/>
      <c r="P157" s="359" t="s">
        <v>41</v>
      </c>
      <c r="Q157" s="359" t="s">
        <v>48</v>
      </c>
      <c r="R157" s="52"/>
      <c r="S157" s="374" t="s">
        <v>46</v>
      </c>
      <c r="T157" s="375"/>
      <c r="U157" s="376"/>
      <c r="V157" s="380" t="s">
        <v>47</v>
      </c>
      <c r="W157" s="381"/>
      <c r="X157" s="381"/>
      <c r="Y157" s="381"/>
      <c r="Z157" s="381"/>
      <c r="AA157" s="381"/>
      <c r="AB157" s="381"/>
      <c r="AC157" s="381"/>
      <c r="AD157" s="382"/>
      <c r="AE157" s="359" t="s">
        <v>41</v>
      </c>
      <c r="AF157" s="359" t="s">
        <v>48</v>
      </c>
      <c r="AG157" s="80"/>
      <c r="AH157" s="81"/>
      <c r="AI157" s="81"/>
      <c r="AJ157" s="81"/>
      <c r="AK157" s="81"/>
      <c r="AL157" s="81"/>
      <c r="AM157" s="99"/>
      <c r="AN157" s="373" t="s">
        <v>1</v>
      </c>
      <c r="AO157" s="373"/>
      <c r="AP157" s="373" t="s">
        <v>2</v>
      </c>
      <c r="AQ157" s="373"/>
      <c r="AR157" s="82"/>
      <c r="AU157" s="46"/>
      <c r="AV157" s="46"/>
      <c r="AW157" s="46"/>
    </row>
    <row r="158" spans="2:49" ht="13.5" hidden="1" thickBot="1" x14ac:dyDescent="0.25">
      <c r="B158" s="59"/>
      <c r="C158" s="59"/>
      <c r="D158" s="377"/>
      <c r="E158" s="378"/>
      <c r="F158" s="379"/>
      <c r="G158" s="383"/>
      <c r="H158" s="384"/>
      <c r="I158" s="384"/>
      <c r="J158" s="384"/>
      <c r="K158" s="384"/>
      <c r="L158" s="384"/>
      <c r="M158" s="384"/>
      <c r="N158" s="384"/>
      <c r="O158" s="385"/>
      <c r="P158" s="360"/>
      <c r="Q158" s="360"/>
      <c r="R158" s="52"/>
      <c r="S158" s="377"/>
      <c r="T158" s="378"/>
      <c r="U158" s="379"/>
      <c r="V158" s="383"/>
      <c r="W158" s="384"/>
      <c r="X158" s="384"/>
      <c r="Y158" s="384"/>
      <c r="Z158" s="384"/>
      <c r="AA158" s="384"/>
      <c r="AB158" s="384"/>
      <c r="AC158" s="384"/>
      <c r="AD158" s="385"/>
      <c r="AE158" s="360"/>
      <c r="AF158" s="360"/>
      <c r="AG158" s="83"/>
      <c r="AH158" s="52"/>
      <c r="AI158" s="84" t="s">
        <v>49</v>
      </c>
      <c r="AJ158" s="84"/>
      <c r="AK158" s="84"/>
      <c r="AL158" s="84"/>
      <c r="AM158" s="84"/>
      <c r="AN158" s="84"/>
      <c r="AO158" s="85"/>
      <c r="AP158" s="85"/>
      <c r="AQ158" s="86"/>
      <c r="AR158" s="82"/>
      <c r="AU158" s="46"/>
      <c r="AV158" s="46"/>
      <c r="AW158" s="46"/>
    </row>
    <row r="159" spans="2:49" ht="13.5" hidden="1" customHeight="1" x14ac:dyDescent="0.2">
      <c r="B159" s="59"/>
      <c r="C159" s="59"/>
      <c r="D159" s="198"/>
      <c r="E159" s="191"/>
      <c r="F159" s="192"/>
      <c r="G159" s="193" t="s">
        <v>50</v>
      </c>
      <c r="H159" s="194"/>
      <c r="I159" s="194"/>
      <c r="J159" s="194"/>
      <c r="K159" s="194"/>
      <c r="L159" s="194"/>
      <c r="M159" s="194"/>
      <c r="N159" s="194"/>
      <c r="O159" s="195"/>
      <c r="P159" s="196"/>
      <c r="Q159" s="196"/>
      <c r="R159" s="197"/>
      <c r="S159" s="198"/>
      <c r="T159" s="191"/>
      <c r="U159" s="192"/>
      <c r="V159" s="193" t="s">
        <v>50</v>
      </c>
      <c r="W159" s="194"/>
      <c r="X159" s="194"/>
      <c r="Y159" s="194"/>
      <c r="Z159" s="194"/>
      <c r="AA159" s="194"/>
      <c r="AB159" s="194"/>
      <c r="AC159" s="194"/>
      <c r="AD159" s="195"/>
      <c r="AE159" s="196"/>
      <c r="AF159" s="196"/>
      <c r="AG159" s="361" t="s">
        <v>68</v>
      </c>
      <c r="AH159" s="362"/>
      <c r="AI159" s="362"/>
      <c r="AJ159" s="363"/>
      <c r="AK159" s="367" t="s">
        <v>51</v>
      </c>
      <c r="AL159" s="368"/>
      <c r="AM159" s="368"/>
      <c r="AN159" s="368"/>
      <c r="AO159" s="368"/>
      <c r="AP159" s="368"/>
      <c r="AQ159" s="369"/>
      <c r="AU159" s="46"/>
      <c r="AV159" s="46"/>
      <c r="AW159" s="46"/>
    </row>
    <row r="160" spans="2:49" ht="13.5" hidden="1" customHeight="1" thickBot="1" x14ac:dyDescent="0.25">
      <c r="B160" s="59"/>
      <c r="C160" s="59"/>
      <c r="D160" s="198"/>
      <c r="E160" s="191"/>
      <c r="F160" s="192"/>
      <c r="G160" s="199">
        <v>2</v>
      </c>
      <c r="H160" s="191"/>
      <c r="I160" s="191"/>
      <c r="J160" s="191"/>
      <c r="K160" s="191"/>
      <c r="L160" s="191"/>
      <c r="M160" s="191"/>
      <c r="N160" s="191"/>
      <c r="O160" s="192"/>
      <c r="P160" s="196"/>
      <c r="Q160" s="196"/>
      <c r="R160" s="197"/>
      <c r="S160" s="198"/>
      <c r="T160" s="191"/>
      <c r="U160" s="192"/>
      <c r="V160" s="199">
        <v>2</v>
      </c>
      <c r="W160" s="191"/>
      <c r="X160" s="191"/>
      <c r="Y160" s="191"/>
      <c r="Z160" s="191"/>
      <c r="AA160" s="191"/>
      <c r="AB160" s="191"/>
      <c r="AC160" s="191"/>
      <c r="AD160" s="192"/>
      <c r="AE160" s="196"/>
      <c r="AF160" s="196"/>
      <c r="AG160" s="364"/>
      <c r="AH160" s="365"/>
      <c r="AI160" s="365"/>
      <c r="AJ160" s="366"/>
      <c r="AK160" s="370"/>
      <c r="AL160" s="371"/>
      <c r="AM160" s="371"/>
      <c r="AN160" s="371"/>
      <c r="AO160" s="371"/>
      <c r="AP160" s="371"/>
      <c r="AQ160" s="372"/>
      <c r="AU160" s="46"/>
      <c r="AV160" s="46"/>
      <c r="AW160" s="46"/>
    </row>
    <row r="161" spans="2:49" ht="13.5" hidden="1" customHeight="1" x14ac:dyDescent="0.2">
      <c r="B161" s="59"/>
      <c r="C161" s="59"/>
      <c r="D161" s="198"/>
      <c r="E161" s="191"/>
      <c r="F161" s="192"/>
      <c r="G161" s="199">
        <v>3</v>
      </c>
      <c r="H161" s="191"/>
      <c r="I161" s="191"/>
      <c r="J161" s="191"/>
      <c r="K161" s="191"/>
      <c r="L161" s="191"/>
      <c r="M161" s="191"/>
      <c r="N161" s="191"/>
      <c r="O161" s="192"/>
      <c r="P161" s="196"/>
      <c r="Q161" s="196"/>
      <c r="R161" s="197"/>
      <c r="S161" s="198"/>
      <c r="T161" s="191"/>
      <c r="U161" s="192"/>
      <c r="V161" s="199">
        <v>3</v>
      </c>
      <c r="W161" s="191"/>
      <c r="X161" s="191"/>
      <c r="Y161" s="191"/>
      <c r="Z161" s="191"/>
      <c r="AA161" s="191"/>
      <c r="AB161" s="191"/>
      <c r="AC161" s="191"/>
      <c r="AD161" s="192"/>
      <c r="AE161" s="196"/>
      <c r="AF161" s="196"/>
      <c r="AG161" s="361" t="s">
        <v>2</v>
      </c>
      <c r="AH161" s="362"/>
      <c r="AI161" s="362"/>
      <c r="AJ161" s="363"/>
      <c r="AK161" s="367" t="s">
        <v>51</v>
      </c>
      <c r="AL161" s="368"/>
      <c r="AM161" s="368"/>
      <c r="AN161" s="368"/>
      <c r="AO161" s="368"/>
      <c r="AP161" s="368"/>
      <c r="AQ161" s="369"/>
      <c r="AU161" s="46"/>
      <c r="AV161" s="46"/>
      <c r="AW161" s="46"/>
    </row>
    <row r="162" spans="2:49" ht="13.5" hidden="1" customHeight="1" thickBot="1" x14ac:dyDescent="0.25">
      <c r="B162" s="59"/>
      <c r="C162" s="59"/>
      <c r="D162" s="198"/>
      <c r="E162" s="191"/>
      <c r="F162" s="192"/>
      <c r="G162" s="199">
        <v>4</v>
      </c>
      <c r="H162" s="191"/>
      <c r="I162" s="191"/>
      <c r="J162" s="191"/>
      <c r="K162" s="191"/>
      <c r="L162" s="191"/>
      <c r="M162" s="191"/>
      <c r="N162" s="191"/>
      <c r="O162" s="192"/>
      <c r="P162" s="196"/>
      <c r="Q162" s="196"/>
      <c r="R162" s="197"/>
      <c r="S162" s="198"/>
      <c r="T162" s="191"/>
      <c r="U162" s="192"/>
      <c r="V162" s="199">
        <v>4</v>
      </c>
      <c r="W162" s="191"/>
      <c r="X162" s="191"/>
      <c r="Y162" s="191"/>
      <c r="Z162" s="191"/>
      <c r="AA162" s="191"/>
      <c r="AB162" s="191"/>
      <c r="AC162" s="191"/>
      <c r="AD162" s="192"/>
      <c r="AE162" s="196"/>
      <c r="AF162" s="196"/>
      <c r="AG162" s="364"/>
      <c r="AH162" s="365"/>
      <c r="AI162" s="365"/>
      <c r="AJ162" s="366"/>
      <c r="AK162" s="370"/>
      <c r="AL162" s="371"/>
      <c r="AM162" s="371"/>
      <c r="AN162" s="371"/>
      <c r="AO162" s="371"/>
      <c r="AP162" s="371"/>
      <c r="AQ162" s="372"/>
      <c r="AU162" s="46"/>
      <c r="AV162" s="46"/>
      <c r="AW162" s="46"/>
    </row>
    <row r="163" spans="2:49" ht="13.5" hidden="1" customHeight="1" x14ac:dyDescent="0.2">
      <c r="B163" s="59"/>
      <c r="C163" s="59"/>
      <c r="D163" s="198"/>
      <c r="E163" s="191"/>
      <c r="F163" s="192"/>
      <c r="G163" s="199">
        <v>5</v>
      </c>
      <c r="H163" s="191"/>
      <c r="I163" s="191"/>
      <c r="J163" s="191"/>
      <c r="K163" s="191"/>
      <c r="L163" s="191"/>
      <c r="M163" s="191"/>
      <c r="N163" s="191"/>
      <c r="O163" s="192"/>
      <c r="P163" s="196"/>
      <c r="Q163" s="196"/>
      <c r="R163" s="197"/>
      <c r="S163" s="198"/>
      <c r="T163" s="191"/>
      <c r="U163" s="192"/>
      <c r="V163" s="199">
        <v>5</v>
      </c>
      <c r="W163" s="191"/>
      <c r="X163" s="191"/>
      <c r="Y163" s="191"/>
      <c r="Z163" s="191"/>
      <c r="AA163" s="191"/>
      <c r="AB163" s="191"/>
      <c r="AC163" s="191"/>
      <c r="AD163" s="192"/>
      <c r="AE163" s="196"/>
      <c r="AF163" s="196"/>
      <c r="AG163" s="87" t="s">
        <v>52</v>
      </c>
      <c r="AH163" s="55"/>
      <c r="AI163" s="55"/>
      <c r="AJ163" s="55"/>
      <c r="AK163" s="55"/>
      <c r="AL163" s="55"/>
      <c r="AM163" s="55"/>
      <c r="AN163" s="55"/>
      <c r="AO163" s="55" t="s">
        <v>53</v>
      </c>
      <c r="AP163" s="55"/>
      <c r="AQ163" s="64"/>
      <c r="AU163" s="46"/>
      <c r="AV163" s="46"/>
      <c r="AW163" s="46"/>
    </row>
    <row r="164" spans="2:49" ht="13.5" hidden="1" customHeight="1" x14ac:dyDescent="0.2">
      <c r="B164" s="59"/>
      <c r="C164" s="59"/>
      <c r="D164" s="198"/>
      <c r="E164" s="191"/>
      <c r="F164" s="192"/>
      <c r="G164" s="199">
        <v>6</v>
      </c>
      <c r="H164" s="191"/>
      <c r="I164" s="191"/>
      <c r="J164" s="191"/>
      <c r="K164" s="191"/>
      <c r="L164" s="191"/>
      <c r="M164" s="191"/>
      <c r="N164" s="191"/>
      <c r="O164" s="192"/>
      <c r="P164" s="196"/>
      <c r="Q164" s="196"/>
      <c r="R164" s="197"/>
      <c r="S164" s="198"/>
      <c r="T164" s="191"/>
      <c r="U164" s="192"/>
      <c r="V164" s="199">
        <v>6</v>
      </c>
      <c r="W164" s="191"/>
      <c r="X164" s="191"/>
      <c r="Y164" s="191"/>
      <c r="Z164" s="191"/>
      <c r="AA164" s="191"/>
      <c r="AB164" s="191"/>
      <c r="AC164" s="191"/>
      <c r="AD164" s="192"/>
      <c r="AE164" s="196"/>
      <c r="AF164" s="196"/>
      <c r="AG164" s="88"/>
      <c r="AH164" s="52"/>
      <c r="AI164" s="52"/>
      <c r="AJ164" s="52"/>
      <c r="AK164" s="52"/>
      <c r="AL164" s="52"/>
      <c r="AM164" s="52"/>
      <c r="AN164" s="52"/>
      <c r="AO164" s="52"/>
      <c r="AP164" s="52"/>
      <c r="AQ164" s="66"/>
      <c r="AU164" s="46"/>
      <c r="AV164" s="46"/>
      <c r="AW164" s="46"/>
    </row>
    <row r="165" spans="2:49" ht="13.5" hidden="1" customHeight="1" thickBot="1" x14ac:dyDescent="0.25">
      <c r="B165" s="59"/>
      <c r="C165" s="59"/>
      <c r="D165" s="198"/>
      <c r="E165" s="191"/>
      <c r="F165" s="192"/>
      <c r="G165" s="199">
        <v>7</v>
      </c>
      <c r="H165" s="191"/>
      <c r="I165" s="191"/>
      <c r="J165" s="191"/>
      <c r="K165" s="191"/>
      <c r="L165" s="191"/>
      <c r="M165" s="191"/>
      <c r="N165" s="191"/>
      <c r="O165" s="192"/>
      <c r="P165" s="196"/>
      <c r="Q165" s="196"/>
      <c r="R165" s="197"/>
      <c r="S165" s="198"/>
      <c r="T165" s="191"/>
      <c r="U165" s="192"/>
      <c r="V165" s="199">
        <v>7</v>
      </c>
      <c r="W165" s="191"/>
      <c r="X165" s="191"/>
      <c r="Y165" s="191"/>
      <c r="Z165" s="191"/>
      <c r="AA165" s="191"/>
      <c r="AB165" s="191"/>
      <c r="AC165" s="191"/>
      <c r="AD165" s="192"/>
      <c r="AE165" s="196"/>
      <c r="AF165" s="196"/>
      <c r="AG165" s="59" t="s">
        <v>54</v>
      </c>
      <c r="AH165" s="52"/>
      <c r="AI165" s="52"/>
      <c r="AJ165" s="52"/>
      <c r="AK165" s="52"/>
      <c r="AL165" s="52"/>
      <c r="AM165" s="52"/>
      <c r="AN165" s="52"/>
      <c r="AO165" s="52"/>
      <c r="AP165" s="52"/>
      <c r="AQ165" s="66"/>
      <c r="AU165" s="46"/>
      <c r="AV165" s="46"/>
      <c r="AW165" s="46"/>
    </row>
    <row r="166" spans="2:49" ht="13.5" hidden="1" customHeight="1" thickBot="1" x14ac:dyDescent="0.25">
      <c r="B166" s="59"/>
      <c r="C166" s="59"/>
      <c r="D166" s="204"/>
      <c r="E166" s="200"/>
      <c r="F166" s="201"/>
      <c r="G166" s="202">
        <v>8</v>
      </c>
      <c r="H166" s="200"/>
      <c r="I166" s="200"/>
      <c r="J166" s="200"/>
      <c r="K166" s="200"/>
      <c r="L166" s="200"/>
      <c r="M166" s="200"/>
      <c r="N166" s="200"/>
      <c r="O166" s="201"/>
      <c r="P166" s="203"/>
      <c r="Q166" s="203"/>
      <c r="R166" s="197"/>
      <c r="S166" s="204"/>
      <c r="T166" s="200"/>
      <c r="U166" s="201"/>
      <c r="V166" s="202">
        <v>8</v>
      </c>
      <c r="W166" s="200"/>
      <c r="X166" s="200"/>
      <c r="Y166" s="200"/>
      <c r="Z166" s="200"/>
      <c r="AA166" s="200"/>
      <c r="AB166" s="200"/>
      <c r="AC166" s="200"/>
      <c r="AD166" s="201"/>
      <c r="AE166" s="203"/>
      <c r="AF166" s="203"/>
      <c r="AG166" s="89" t="s">
        <v>55</v>
      </c>
      <c r="AH166" s="55"/>
      <c r="AI166" s="55"/>
      <c r="AJ166" s="55"/>
      <c r="AK166" s="55"/>
      <c r="AL166" s="55"/>
      <c r="AM166" s="55"/>
      <c r="AN166" s="55"/>
      <c r="AO166" s="55"/>
      <c r="AP166" s="55"/>
      <c r="AQ166" s="64"/>
      <c r="AU166" s="46"/>
      <c r="AV166" s="46"/>
      <c r="AW166" s="46"/>
    </row>
    <row r="167" spans="2:49" ht="13.5" hidden="1" customHeight="1" thickBot="1" x14ac:dyDescent="0.25">
      <c r="B167" s="59"/>
      <c r="C167" s="59"/>
      <c r="D167" s="74"/>
      <c r="E167" s="90"/>
      <c r="F167" s="90"/>
      <c r="G167" s="90"/>
      <c r="H167" s="90"/>
      <c r="I167" s="90"/>
      <c r="J167" s="91" t="s">
        <v>56</v>
      </c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  <c r="AA167" s="90"/>
      <c r="AB167" s="90"/>
      <c r="AC167" s="90"/>
      <c r="AD167" s="90"/>
      <c r="AE167" s="90"/>
      <c r="AF167" s="92"/>
      <c r="AG167" s="69" t="s">
        <v>57</v>
      </c>
      <c r="AH167" s="52"/>
      <c r="AI167" s="52"/>
      <c r="AJ167" s="52"/>
      <c r="AK167" s="52"/>
      <c r="AL167" s="52"/>
      <c r="AM167" s="52"/>
      <c r="AN167" s="52"/>
      <c r="AO167" s="52"/>
      <c r="AP167" s="52"/>
      <c r="AQ167" s="66"/>
      <c r="AU167" s="46"/>
      <c r="AV167" s="46"/>
      <c r="AW167" s="46"/>
    </row>
    <row r="168" spans="2:49" ht="13.5" hidden="1" customHeight="1" thickBot="1" x14ac:dyDescent="0.25">
      <c r="B168" s="59"/>
      <c r="C168" s="59"/>
      <c r="D168" s="93" t="s">
        <v>58</v>
      </c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2"/>
      <c r="S168" s="93" t="s">
        <v>59</v>
      </c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0"/>
      <c r="AF168" s="92"/>
      <c r="AG168" s="94" t="s">
        <v>60</v>
      </c>
      <c r="AH168" s="95"/>
      <c r="AI168" s="95"/>
      <c r="AJ168" s="95"/>
      <c r="AK168" s="95"/>
      <c r="AL168" s="72"/>
      <c r="AM168" s="96" t="s">
        <v>61</v>
      </c>
      <c r="AN168" s="95"/>
      <c r="AO168" s="95"/>
      <c r="AP168" s="95"/>
      <c r="AQ168" s="72"/>
      <c r="AU168" s="46"/>
      <c r="AV168" s="46"/>
      <c r="AW168" s="46"/>
    </row>
    <row r="169" spans="2:49" ht="17.25" hidden="1" customHeight="1" thickBot="1" x14ac:dyDescent="0.25">
      <c r="B169" s="57"/>
      <c r="C169" s="57"/>
      <c r="D169" s="93" t="s">
        <v>62</v>
      </c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2"/>
      <c r="S169" s="93" t="s">
        <v>6</v>
      </c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2"/>
      <c r="AG169" s="97" t="s">
        <v>63</v>
      </c>
      <c r="AH169" s="58"/>
      <c r="AI169" s="58"/>
      <c r="AJ169" s="58"/>
      <c r="AK169" s="58"/>
      <c r="AL169" s="72"/>
      <c r="AM169" s="98" t="s">
        <v>64</v>
      </c>
      <c r="AN169" s="58"/>
      <c r="AO169" s="58"/>
      <c r="AP169" s="58"/>
      <c r="AQ169" s="72"/>
      <c r="AU169" s="46"/>
      <c r="AV169" s="46"/>
      <c r="AW169" s="46"/>
    </row>
    <row r="170" spans="2:49" ht="17.25" hidden="1" customHeight="1" x14ac:dyDescent="0.2">
      <c r="B170" s="52"/>
      <c r="C170" s="52"/>
      <c r="D170" s="99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99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100"/>
      <c r="AH170" s="52"/>
      <c r="AI170" s="52"/>
      <c r="AJ170" s="52"/>
      <c r="AK170" s="52"/>
      <c r="AL170" s="52"/>
      <c r="AM170" s="101"/>
      <c r="AN170" s="52"/>
      <c r="AO170" s="52"/>
      <c r="AP170" s="52"/>
      <c r="AQ170" s="52"/>
      <c r="AU170" s="46"/>
      <c r="AV170" s="46"/>
      <c r="AW170" s="46"/>
    </row>
    <row r="171" spans="2:49" ht="15.95" hidden="1" customHeight="1" thickBot="1" x14ac:dyDescent="0.25">
      <c r="AU171" s="46"/>
      <c r="AV171" s="46"/>
      <c r="AW171" s="46"/>
    </row>
    <row r="172" spans="2:49" ht="17.25" hidden="1" customHeight="1" x14ac:dyDescent="0.25">
      <c r="B172" s="53"/>
      <c r="C172" s="53"/>
      <c r="D172" s="54" t="s">
        <v>29</v>
      </c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6" t="s">
        <v>73</v>
      </c>
      <c r="Z172" s="55"/>
      <c r="AA172" s="55"/>
      <c r="AB172" s="55"/>
      <c r="AC172" s="55"/>
      <c r="AD172" s="55"/>
      <c r="AE172" s="55"/>
      <c r="AF172" s="55"/>
      <c r="AG172" s="55"/>
      <c r="AH172" s="433" t="s">
        <v>30</v>
      </c>
      <c r="AI172" s="434"/>
      <c r="AJ172" s="434"/>
      <c r="AK172" s="434"/>
      <c r="AL172" s="434"/>
      <c r="AM172" s="435" t="str">
        <f>IF(($AU$9+5)&gt;$AX$9,"",VLOOKUP($AU$9+5,Spielplan,3,0))</f>
        <v/>
      </c>
      <c r="AN172" s="435"/>
      <c r="AO172" s="435"/>
      <c r="AP172" s="435"/>
      <c r="AQ172" s="436"/>
      <c r="AU172" s="46"/>
      <c r="AV172" s="46"/>
      <c r="AW172" s="46"/>
    </row>
    <row r="173" spans="2:49" ht="0.75" hidden="1" customHeight="1" thickBot="1" x14ac:dyDescent="0.25">
      <c r="B173" s="57"/>
      <c r="C173" s="57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9"/>
      <c r="AI173" s="52"/>
      <c r="AJ173" s="52"/>
      <c r="AK173" s="52"/>
      <c r="AL173" s="52"/>
      <c r="AM173" s="60"/>
      <c r="AN173" s="60"/>
      <c r="AO173" s="60"/>
      <c r="AP173" s="60"/>
      <c r="AQ173" s="61"/>
      <c r="AU173" s="46"/>
      <c r="AV173" s="46"/>
      <c r="AW173" s="46"/>
    </row>
    <row r="174" spans="2:49" ht="15" hidden="1" x14ac:dyDescent="0.25">
      <c r="B174" s="53"/>
      <c r="C174" s="62"/>
      <c r="D174" s="53"/>
      <c r="E174" s="63" t="s">
        <v>6</v>
      </c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64"/>
      <c r="S174" s="437" t="s">
        <v>31</v>
      </c>
      <c r="T174" s="438"/>
      <c r="U174" s="438"/>
      <c r="V174" s="438"/>
      <c r="W174" s="438"/>
      <c r="X174" s="438"/>
      <c r="Y174" s="362" t="str">
        <f>IF(($AU$9+5)&gt;$AX$9,"","SHTV")</f>
        <v/>
      </c>
      <c r="Z174" s="362"/>
      <c r="AA174" s="362"/>
      <c r="AB174" s="362"/>
      <c r="AC174" s="362"/>
      <c r="AD174" s="362"/>
      <c r="AE174" s="362"/>
      <c r="AF174" s="362"/>
      <c r="AG174" s="362"/>
      <c r="AH174" s="416" t="s">
        <v>32</v>
      </c>
      <c r="AI174" s="417"/>
      <c r="AJ174" s="417"/>
      <c r="AK174" s="417"/>
      <c r="AL174" s="417"/>
      <c r="AM174" s="420" t="str">
        <f>IF(($AU$9+5)&gt;$AX$9,"",VLOOKUP($AU$9+5,Spielplan,4,0))</f>
        <v/>
      </c>
      <c r="AN174" s="421"/>
      <c r="AO174" s="421"/>
      <c r="AP174" s="421"/>
      <c r="AQ174" s="422"/>
      <c r="AU174" s="46"/>
      <c r="AV174" s="46"/>
      <c r="AW174" s="46"/>
    </row>
    <row r="175" spans="2:49" ht="9.9499999999999993" hidden="1" customHeight="1" x14ac:dyDescent="0.2">
      <c r="B175" s="59"/>
      <c r="C175" s="65"/>
      <c r="D175" s="59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66"/>
      <c r="S175" s="400"/>
      <c r="T175" s="399"/>
      <c r="U175" s="399"/>
      <c r="V175" s="399"/>
      <c r="W175" s="399"/>
      <c r="X175" s="399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18"/>
      <c r="AI175" s="419"/>
      <c r="AJ175" s="419"/>
      <c r="AK175" s="419"/>
      <c r="AL175" s="419"/>
      <c r="AM175" s="423"/>
      <c r="AN175" s="423"/>
      <c r="AO175" s="423"/>
      <c r="AP175" s="423"/>
      <c r="AQ175" s="424"/>
      <c r="AU175" s="46"/>
      <c r="AV175" s="46"/>
      <c r="AW175" s="46"/>
    </row>
    <row r="176" spans="2:49" ht="13.15" hidden="1" customHeight="1" x14ac:dyDescent="0.2">
      <c r="B176" s="59"/>
      <c r="C176" s="65"/>
      <c r="D176" s="59"/>
      <c r="E176" s="52" t="s">
        <v>33</v>
      </c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66"/>
      <c r="S176" s="398" t="s">
        <v>34</v>
      </c>
      <c r="T176" s="399"/>
      <c r="U176" s="399"/>
      <c r="V176" s="399"/>
      <c r="W176" s="399"/>
      <c r="X176" s="399"/>
      <c r="Y176" s="402" t="str">
        <f>IF(($AU$9+5)&gt;$AX$9,"",Platzierung!$U$3)</f>
        <v/>
      </c>
      <c r="Z176" s="402"/>
      <c r="AA176" s="402"/>
      <c r="AB176" s="402"/>
      <c r="AC176" s="402"/>
      <c r="AD176" s="402"/>
      <c r="AE176" s="402"/>
      <c r="AF176" s="402"/>
      <c r="AG176" s="402"/>
      <c r="AH176" s="416" t="s">
        <v>35</v>
      </c>
      <c r="AI176" s="417"/>
      <c r="AJ176" s="417"/>
      <c r="AK176" s="417"/>
      <c r="AL176" s="417"/>
      <c r="AM176" s="420" t="str">
        <f>IF(($AU$9+5)&gt;$AX$9,"",VLOOKUP($AU$9+5,Spielplan,6,0))</f>
        <v/>
      </c>
      <c r="AN176" s="421"/>
      <c r="AO176" s="421"/>
      <c r="AP176" s="421"/>
      <c r="AQ176" s="422"/>
      <c r="AU176" s="46"/>
      <c r="AV176" s="46"/>
      <c r="AW176" s="46"/>
    </row>
    <row r="177" spans="2:49" ht="9.9499999999999993" hidden="1" customHeight="1" x14ac:dyDescent="0.2">
      <c r="B177" s="59"/>
      <c r="C177" s="65"/>
      <c r="D177" s="59"/>
      <c r="E177" s="52"/>
      <c r="F177" s="52"/>
      <c r="G177" s="52"/>
      <c r="H177" s="52"/>
      <c r="I177" s="52"/>
      <c r="J177" s="67" t="s">
        <v>36</v>
      </c>
      <c r="K177" s="52"/>
      <c r="L177" s="52"/>
      <c r="M177" s="52"/>
      <c r="N177" s="52"/>
      <c r="O177" s="52"/>
      <c r="P177" s="52"/>
      <c r="Q177" s="52"/>
      <c r="R177" s="66"/>
      <c r="S177" s="400"/>
      <c r="T177" s="399"/>
      <c r="U177" s="399"/>
      <c r="V177" s="399"/>
      <c r="W177" s="399"/>
      <c r="X177" s="399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18"/>
      <c r="AI177" s="419"/>
      <c r="AJ177" s="419"/>
      <c r="AK177" s="419"/>
      <c r="AL177" s="419"/>
      <c r="AM177" s="423"/>
      <c r="AN177" s="423"/>
      <c r="AO177" s="423"/>
      <c r="AP177" s="423"/>
      <c r="AQ177" s="424"/>
      <c r="AU177" s="46"/>
      <c r="AV177" s="46"/>
      <c r="AW177" s="46"/>
    </row>
    <row r="178" spans="2:49" ht="15.75" hidden="1" customHeight="1" x14ac:dyDescent="0.2">
      <c r="B178" s="59"/>
      <c r="C178" s="65"/>
      <c r="D178" s="394" t="str">
        <f>IF(($AU$9+5)&gt;$AX$9,"",VLOOKUP($AU$9+5,Spielplan,10,0))</f>
        <v/>
      </c>
      <c r="E178" s="395"/>
      <c r="F178" s="395"/>
      <c r="G178" s="395"/>
      <c r="H178" s="395"/>
      <c r="I178" s="395"/>
      <c r="J178" s="395"/>
      <c r="K178" s="395"/>
      <c r="L178" s="395"/>
      <c r="M178" s="395"/>
      <c r="N178" s="395"/>
      <c r="O178" s="395"/>
      <c r="P178" s="395"/>
      <c r="Q178" s="395"/>
      <c r="R178" s="396"/>
      <c r="S178" s="398" t="s">
        <v>37</v>
      </c>
      <c r="T178" s="399"/>
      <c r="U178" s="399"/>
      <c r="V178" s="399"/>
      <c r="W178" s="399"/>
      <c r="X178" s="399"/>
      <c r="Y178" s="401" t="str">
        <f>IF(($AU$9+5)&gt;$AX$9,"",VLOOKUP($AU$9+5,Spielplan,2,0))</f>
        <v/>
      </c>
      <c r="Z178" s="402"/>
      <c r="AA178" s="402"/>
      <c r="AB178" s="402"/>
      <c r="AC178" s="402"/>
      <c r="AD178" s="402"/>
      <c r="AE178" s="402"/>
      <c r="AF178" s="402"/>
      <c r="AG178" s="402"/>
      <c r="AH178" s="403" t="s">
        <v>38</v>
      </c>
      <c r="AI178" s="399"/>
      <c r="AJ178" s="399"/>
      <c r="AK178" s="399"/>
      <c r="AL178" s="399"/>
      <c r="AM178" s="425" t="str">
        <f>IF(($AU$9+5)&gt;$AX$9,"",VLOOKUP($AU$9+5,Spielplan,5,0))</f>
        <v/>
      </c>
      <c r="AN178" s="426"/>
      <c r="AO178" s="426"/>
      <c r="AP178" s="426"/>
      <c r="AQ178" s="427"/>
      <c r="AU178" s="46"/>
      <c r="AV178" s="46"/>
      <c r="AW178" s="46"/>
    </row>
    <row r="179" spans="2:49" ht="11.1" hidden="1" customHeight="1" thickBot="1" x14ac:dyDescent="0.25">
      <c r="B179" s="59"/>
      <c r="C179" s="65"/>
      <c r="D179" s="397"/>
      <c r="E179" s="395"/>
      <c r="F179" s="395"/>
      <c r="G179" s="395"/>
      <c r="H179" s="395"/>
      <c r="I179" s="395"/>
      <c r="J179" s="395"/>
      <c r="K179" s="395"/>
      <c r="L179" s="395"/>
      <c r="M179" s="395"/>
      <c r="N179" s="395"/>
      <c r="O179" s="395"/>
      <c r="P179" s="395"/>
      <c r="Q179" s="395"/>
      <c r="R179" s="396"/>
      <c r="S179" s="400"/>
      <c r="T179" s="399"/>
      <c r="U179" s="399"/>
      <c r="V179" s="399"/>
      <c r="W179" s="399"/>
      <c r="X179" s="399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4"/>
      <c r="AI179" s="405"/>
      <c r="AJ179" s="405"/>
      <c r="AK179" s="405"/>
      <c r="AL179" s="405"/>
      <c r="AM179" s="428"/>
      <c r="AN179" s="428"/>
      <c r="AO179" s="428"/>
      <c r="AP179" s="428"/>
      <c r="AQ179" s="429"/>
      <c r="AU179" s="46"/>
      <c r="AV179" s="46"/>
      <c r="AW179" s="46"/>
    </row>
    <row r="180" spans="2:49" ht="11.1" hidden="1" customHeight="1" thickBot="1" x14ac:dyDescent="0.25">
      <c r="B180" s="59"/>
      <c r="C180" s="65"/>
      <c r="D180" s="57"/>
      <c r="E180" s="58"/>
      <c r="F180" s="58"/>
      <c r="G180" s="58"/>
      <c r="H180" s="58"/>
      <c r="I180" s="58"/>
      <c r="J180" s="58" t="s">
        <v>39</v>
      </c>
      <c r="K180" s="58"/>
      <c r="L180" s="58"/>
      <c r="M180" s="58"/>
      <c r="N180" s="58"/>
      <c r="O180" s="52"/>
      <c r="P180" s="52"/>
      <c r="Q180" s="58"/>
      <c r="R180" s="68"/>
      <c r="S180" s="59"/>
      <c r="T180" s="52"/>
      <c r="U180" s="52"/>
      <c r="V180" s="52"/>
      <c r="W180" s="52"/>
      <c r="X180" s="52"/>
      <c r="Y180" s="430"/>
      <c r="Z180" s="430"/>
      <c r="AA180" s="430"/>
      <c r="AB180" s="430"/>
      <c r="AC180" s="430"/>
      <c r="AD180" s="430"/>
      <c r="AE180" s="430"/>
      <c r="AF180" s="431"/>
      <c r="AG180" s="432"/>
      <c r="AH180" s="69" t="s">
        <v>40</v>
      </c>
      <c r="AI180" s="52"/>
      <c r="AJ180" s="52"/>
      <c r="AK180" s="52"/>
      <c r="AL180" s="52"/>
      <c r="AM180" s="52"/>
      <c r="AN180" s="52"/>
      <c r="AO180" s="70"/>
      <c r="AP180" s="52"/>
      <c r="AQ180" s="66"/>
      <c r="AU180" s="46"/>
      <c r="AV180" s="46"/>
      <c r="AW180" s="46"/>
    </row>
    <row r="181" spans="2:49" ht="13.5" hidden="1" customHeight="1" thickBot="1" x14ac:dyDescent="0.3">
      <c r="B181" s="59"/>
      <c r="C181" s="65"/>
      <c r="D181" s="53"/>
      <c r="E181" s="63" t="s">
        <v>8</v>
      </c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388" t="s">
        <v>41</v>
      </c>
      <c r="R181" s="53"/>
      <c r="S181" s="53"/>
      <c r="T181" s="63" t="s">
        <v>7</v>
      </c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64"/>
      <c r="AF181" s="391" t="s">
        <v>41</v>
      </c>
      <c r="AG181" s="59"/>
      <c r="AH181" s="71" t="s">
        <v>42</v>
      </c>
      <c r="AI181" s="58"/>
      <c r="AJ181" s="58"/>
      <c r="AK181" s="58"/>
      <c r="AL181" s="58"/>
      <c r="AM181" s="58"/>
      <c r="AN181" s="58"/>
      <c r="AO181" s="72"/>
      <c r="AP181" s="52"/>
      <c r="AQ181" s="66"/>
      <c r="AU181" s="46"/>
      <c r="AV181" s="46"/>
      <c r="AW181" s="46"/>
    </row>
    <row r="182" spans="2:49" ht="12" hidden="1" customHeight="1" thickBot="1" x14ac:dyDescent="0.25">
      <c r="B182" s="59"/>
      <c r="C182" s="65"/>
      <c r="D182" s="394" t="str">
        <f>IF(($AU$9+5)&gt;$AX$9,"",VLOOKUP($AU$9+5,Spielplan,7,0))</f>
        <v/>
      </c>
      <c r="E182" s="395"/>
      <c r="F182" s="395"/>
      <c r="G182" s="395"/>
      <c r="H182" s="395"/>
      <c r="I182" s="395"/>
      <c r="J182" s="395"/>
      <c r="K182" s="395"/>
      <c r="L182" s="395"/>
      <c r="M182" s="395"/>
      <c r="N182" s="395"/>
      <c r="O182" s="395"/>
      <c r="P182" s="396"/>
      <c r="Q182" s="389"/>
      <c r="R182" s="59"/>
      <c r="S182" s="394" t="str">
        <f>IF(($AU$9+5)&gt;$AX$9,"",VLOOKUP($AU$9+5,Spielplan,9,0))</f>
        <v/>
      </c>
      <c r="T182" s="395"/>
      <c r="U182" s="395"/>
      <c r="V182" s="395"/>
      <c r="W182" s="395"/>
      <c r="X182" s="395"/>
      <c r="Y182" s="395"/>
      <c r="Z182" s="395"/>
      <c r="AA182" s="395"/>
      <c r="AB182" s="395"/>
      <c r="AC182" s="395"/>
      <c r="AD182" s="395"/>
      <c r="AE182" s="409"/>
      <c r="AF182" s="392"/>
      <c r="AG182" s="59"/>
      <c r="AH182" s="410" t="s">
        <v>43</v>
      </c>
      <c r="AI182" s="411"/>
      <c r="AJ182" s="411"/>
      <c r="AK182" s="411"/>
      <c r="AL182" s="411"/>
      <c r="AM182" s="412"/>
      <c r="AN182" s="73" t="s">
        <v>44</v>
      </c>
      <c r="AO182" s="74"/>
      <c r="AP182" s="74"/>
      <c r="AQ182" s="72"/>
      <c r="AU182" s="46"/>
      <c r="AV182" s="46"/>
      <c r="AW182" s="46"/>
    </row>
    <row r="183" spans="2:49" ht="12" hidden="1" customHeight="1" thickBot="1" x14ac:dyDescent="0.25">
      <c r="B183" s="57"/>
      <c r="C183" s="70"/>
      <c r="D183" s="406"/>
      <c r="E183" s="407"/>
      <c r="F183" s="407"/>
      <c r="G183" s="407"/>
      <c r="H183" s="407"/>
      <c r="I183" s="407"/>
      <c r="J183" s="407"/>
      <c r="K183" s="407"/>
      <c r="L183" s="407"/>
      <c r="M183" s="407"/>
      <c r="N183" s="407"/>
      <c r="O183" s="407"/>
      <c r="P183" s="408"/>
      <c r="Q183" s="390"/>
      <c r="R183" s="57"/>
      <c r="S183" s="406"/>
      <c r="T183" s="407"/>
      <c r="U183" s="407"/>
      <c r="V183" s="407"/>
      <c r="W183" s="407"/>
      <c r="X183" s="407"/>
      <c r="Y183" s="407"/>
      <c r="Z183" s="407"/>
      <c r="AA183" s="407"/>
      <c r="AB183" s="407"/>
      <c r="AC183" s="407"/>
      <c r="AD183" s="407"/>
      <c r="AE183" s="385"/>
      <c r="AF183" s="393"/>
      <c r="AG183" s="57"/>
      <c r="AH183" s="413"/>
      <c r="AI183" s="414"/>
      <c r="AJ183" s="414"/>
      <c r="AK183" s="414"/>
      <c r="AL183" s="414"/>
      <c r="AM183" s="415"/>
      <c r="AN183" s="73" t="s">
        <v>45</v>
      </c>
      <c r="AO183" s="74"/>
      <c r="AP183" s="74"/>
      <c r="AQ183" s="72"/>
      <c r="AU183" s="46"/>
      <c r="AV183" s="46"/>
      <c r="AW183" s="46"/>
    </row>
    <row r="184" spans="2:49" ht="9.9499999999999993" hidden="1" customHeight="1" thickBot="1" x14ac:dyDescent="0.25">
      <c r="B184" s="59"/>
      <c r="C184" s="59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66"/>
      <c r="AU184" s="46"/>
      <c r="AV184" s="46"/>
      <c r="AW184" s="46"/>
    </row>
    <row r="185" spans="2:49" hidden="1" x14ac:dyDescent="0.2">
      <c r="B185" s="53"/>
      <c r="C185" s="62" t="s">
        <v>44</v>
      </c>
      <c r="D185" s="75"/>
      <c r="E185" s="76"/>
      <c r="F185" s="76"/>
      <c r="G185" s="76"/>
      <c r="H185" s="77"/>
      <c r="I185" s="75"/>
      <c r="J185" s="76"/>
      <c r="K185" s="76"/>
      <c r="L185" s="76"/>
      <c r="M185" s="77"/>
      <c r="N185" s="75"/>
      <c r="O185" s="76"/>
      <c r="P185" s="76"/>
      <c r="Q185" s="76"/>
      <c r="R185" s="77"/>
      <c r="S185" s="75"/>
      <c r="T185" s="76"/>
      <c r="U185" s="76"/>
      <c r="V185" s="76"/>
      <c r="W185" s="77"/>
      <c r="X185" s="75"/>
      <c r="Y185" s="76"/>
      <c r="Z185" s="76"/>
      <c r="AA185" s="76"/>
      <c r="AB185" s="77"/>
      <c r="AC185" s="75"/>
      <c r="AD185" s="76"/>
      <c r="AE185" s="76"/>
      <c r="AF185" s="76"/>
      <c r="AG185" s="77"/>
      <c r="AH185" s="75"/>
      <c r="AI185" s="76"/>
      <c r="AJ185" s="76"/>
      <c r="AK185" s="76"/>
      <c r="AL185" s="76"/>
      <c r="AM185" s="188" t="s">
        <v>44</v>
      </c>
      <c r="AN185" s="386"/>
      <c r="AO185" s="386"/>
      <c r="AP185" s="386"/>
      <c r="AQ185" s="387"/>
      <c r="AU185" s="46"/>
      <c r="AV185" s="46"/>
      <c r="AW185" s="46"/>
    </row>
    <row r="186" spans="2:49" ht="13.5" hidden="1" thickBot="1" x14ac:dyDescent="0.25">
      <c r="B186" s="57"/>
      <c r="C186" s="70" t="s">
        <v>45</v>
      </c>
      <c r="D186" s="57"/>
      <c r="E186" s="78"/>
      <c r="F186" s="78"/>
      <c r="G186" s="78"/>
      <c r="H186" s="79"/>
      <c r="I186" s="57"/>
      <c r="J186" s="78"/>
      <c r="K186" s="78"/>
      <c r="L186" s="78"/>
      <c r="M186" s="79"/>
      <c r="N186" s="57"/>
      <c r="O186" s="78"/>
      <c r="P186" s="78"/>
      <c r="Q186" s="78"/>
      <c r="R186" s="79"/>
      <c r="S186" s="57"/>
      <c r="T186" s="78"/>
      <c r="U186" s="78"/>
      <c r="V186" s="78"/>
      <c r="W186" s="79"/>
      <c r="X186" s="57"/>
      <c r="Y186" s="78"/>
      <c r="Z186" s="78"/>
      <c r="AA186" s="78"/>
      <c r="AB186" s="79"/>
      <c r="AC186" s="57"/>
      <c r="AD186" s="78"/>
      <c r="AE186" s="78"/>
      <c r="AF186" s="78"/>
      <c r="AG186" s="79"/>
      <c r="AH186" s="57"/>
      <c r="AI186" s="78"/>
      <c r="AJ186" s="78"/>
      <c r="AK186" s="78"/>
      <c r="AL186" s="78"/>
      <c r="AM186" s="190" t="s">
        <v>45</v>
      </c>
      <c r="AN186" s="323"/>
      <c r="AO186" s="323"/>
      <c r="AP186" s="323"/>
      <c r="AQ186" s="324"/>
      <c r="AU186" s="46"/>
      <c r="AV186" s="46"/>
      <c r="AW186" s="46"/>
    </row>
    <row r="187" spans="2:49" hidden="1" x14ac:dyDescent="0.2">
      <c r="B187" s="53"/>
      <c r="C187" s="62" t="s">
        <v>44</v>
      </c>
      <c r="D187" s="75"/>
      <c r="E187" s="76"/>
      <c r="F187" s="76"/>
      <c r="G187" s="76"/>
      <c r="H187" s="77"/>
      <c r="I187" s="75"/>
      <c r="J187" s="76"/>
      <c r="K187" s="76"/>
      <c r="L187" s="76"/>
      <c r="M187" s="77"/>
      <c r="N187" s="75"/>
      <c r="O187" s="76"/>
      <c r="P187" s="76"/>
      <c r="Q187" s="76"/>
      <c r="R187" s="77"/>
      <c r="S187" s="75"/>
      <c r="T187" s="76"/>
      <c r="U187" s="76"/>
      <c r="V187" s="76"/>
      <c r="W187" s="77"/>
      <c r="X187" s="75"/>
      <c r="Y187" s="76"/>
      <c r="Z187" s="76"/>
      <c r="AA187" s="76"/>
      <c r="AB187" s="77"/>
      <c r="AC187" s="75"/>
      <c r="AD187" s="76"/>
      <c r="AE187" s="76"/>
      <c r="AF187" s="76"/>
      <c r="AG187" s="77"/>
      <c r="AH187" s="75"/>
      <c r="AI187" s="76"/>
      <c r="AJ187" s="76"/>
      <c r="AK187" s="76"/>
      <c r="AL187" s="76"/>
      <c r="AM187" s="188" t="s">
        <v>44</v>
      </c>
      <c r="AN187" s="386"/>
      <c r="AO187" s="386"/>
      <c r="AP187" s="386"/>
      <c r="AQ187" s="387"/>
      <c r="AU187" s="46"/>
      <c r="AV187" s="46"/>
      <c r="AW187" s="46"/>
    </row>
    <row r="188" spans="2:49" ht="13.5" hidden="1" thickBot="1" x14ac:dyDescent="0.25">
      <c r="B188" s="57"/>
      <c r="C188" s="70" t="s">
        <v>45</v>
      </c>
      <c r="D188" s="57"/>
      <c r="E188" s="78"/>
      <c r="F188" s="78"/>
      <c r="G188" s="78"/>
      <c r="H188" s="79"/>
      <c r="I188" s="57"/>
      <c r="J188" s="78"/>
      <c r="K188" s="78"/>
      <c r="L188" s="78"/>
      <c r="M188" s="79"/>
      <c r="N188" s="57"/>
      <c r="O188" s="78"/>
      <c r="P188" s="78"/>
      <c r="Q188" s="78"/>
      <c r="R188" s="79"/>
      <c r="S188" s="57"/>
      <c r="T188" s="78"/>
      <c r="U188" s="78"/>
      <c r="V188" s="78"/>
      <c r="W188" s="79"/>
      <c r="X188" s="57"/>
      <c r="Y188" s="78"/>
      <c r="Z188" s="78"/>
      <c r="AA188" s="78"/>
      <c r="AB188" s="79"/>
      <c r="AC188" s="57"/>
      <c r="AD188" s="78"/>
      <c r="AE188" s="78"/>
      <c r="AF188" s="78"/>
      <c r="AG188" s="79"/>
      <c r="AH188" s="57"/>
      <c r="AI188" s="78"/>
      <c r="AJ188" s="78"/>
      <c r="AK188" s="78"/>
      <c r="AL188" s="78"/>
      <c r="AM188" s="189" t="s">
        <v>45</v>
      </c>
      <c r="AN188" s="338"/>
      <c r="AO188" s="338"/>
      <c r="AP188" s="338"/>
      <c r="AQ188" s="339"/>
      <c r="AU188" s="46"/>
      <c r="AV188" s="46"/>
      <c r="AW188" s="46"/>
    </row>
    <row r="189" spans="2:49" hidden="1" x14ac:dyDescent="0.2">
      <c r="B189" s="53"/>
      <c r="C189" s="62" t="s">
        <v>44</v>
      </c>
      <c r="D189" s="75"/>
      <c r="E189" s="76"/>
      <c r="F189" s="76"/>
      <c r="G189" s="76"/>
      <c r="H189" s="77"/>
      <c r="I189" s="75"/>
      <c r="J189" s="76"/>
      <c r="K189" s="76"/>
      <c r="L189" s="76"/>
      <c r="M189" s="77"/>
      <c r="N189" s="75"/>
      <c r="O189" s="76"/>
      <c r="P189" s="76"/>
      <c r="Q189" s="76"/>
      <c r="R189" s="77"/>
      <c r="S189" s="75"/>
      <c r="T189" s="76"/>
      <c r="U189" s="76"/>
      <c r="V189" s="76"/>
      <c r="W189" s="77"/>
      <c r="X189" s="75"/>
      <c r="Y189" s="76"/>
      <c r="Z189" s="76"/>
      <c r="AA189" s="76"/>
      <c r="AB189" s="77"/>
      <c r="AC189" s="75"/>
      <c r="AD189" s="76"/>
      <c r="AE189" s="76"/>
      <c r="AF189" s="76"/>
      <c r="AG189" s="77"/>
      <c r="AH189" s="75"/>
      <c r="AI189" s="76"/>
      <c r="AJ189" s="76"/>
      <c r="AK189" s="76"/>
      <c r="AL189" s="76"/>
      <c r="AM189" s="188" t="s">
        <v>44</v>
      </c>
      <c r="AN189" s="386"/>
      <c r="AO189" s="386"/>
      <c r="AP189" s="386"/>
      <c r="AQ189" s="387"/>
      <c r="AU189" s="46"/>
      <c r="AV189" s="46"/>
      <c r="AW189" s="46"/>
    </row>
    <row r="190" spans="2:49" ht="13.5" hidden="1" thickBot="1" x14ac:dyDescent="0.25">
      <c r="B190" s="57"/>
      <c r="C190" s="70" t="s">
        <v>45</v>
      </c>
      <c r="D190" s="57"/>
      <c r="E190" s="78"/>
      <c r="F190" s="78"/>
      <c r="G190" s="78"/>
      <c r="H190" s="79"/>
      <c r="I190" s="57"/>
      <c r="J190" s="78"/>
      <c r="K190" s="78"/>
      <c r="L190" s="78"/>
      <c r="M190" s="79"/>
      <c r="N190" s="57"/>
      <c r="O190" s="78"/>
      <c r="P190" s="78"/>
      <c r="Q190" s="78"/>
      <c r="R190" s="79"/>
      <c r="S190" s="57"/>
      <c r="T190" s="78"/>
      <c r="U190" s="78"/>
      <c r="V190" s="78"/>
      <c r="W190" s="79"/>
      <c r="X190" s="57"/>
      <c r="Y190" s="78"/>
      <c r="Z190" s="78"/>
      <c r="AA190" s="78"/>
      <c r="AB190" s="79"/>
      <c r="AC190" s="57"/>
      <c r="AD190" s="78"/>
      <c r="AE190" s="78"/>
      <c r="AF190" s="78"/>
      <c r="AG190" s="79"/>
      <c r="AH190" s="57"/>
      <c r="AI190" s="78"/>
      <c r="AJ190" s="78"/>
      <c r="AK190" s="78"/>
      <c r="AL190" s="78"/>
      <c r="AM190" s="189" t="s">
        <v>45</v>
      </c>
      <c r="AN190" s="338"/>
      <c r="AO190" s="338"/>
      <c r="AP190" s="338"/>
      <c r="AQ190" s="339"/>
      <c r="AU190" s="46"/>
      <c r="AV190" s="46"/>
      <c r="AW190" s="46"/>
    </row>
    <row r="191" spans="2:49" ht="9.9499999999999993" hidden="1" customHeight="1" x14ac:dyDescent="0.2">
      <c r="B191" s="59"/>
      <c r="C191" s="59"/>
      <c r="D191" s="374" t="s">
        <v>46</v>
      </c>
      <c r="E191" s="375"/>
      <c r="F191" s="376"/>
      <c r="G191" s="380" t="s">
        <v>47</v>
      </c>
      <c r="H191" s="381"/>
      <c r="I191" s="381"/>
      <c r="J191" s="381"/>
      <c r="K191" s="381"/>
      <c r="L191" s="381"/>
      <c r="M191" s="381"/>
      <c r="N191" s="381"/>
      <c r="O191" s="382"/>
      <c r="P191" s="359" t="s">
        <v>41</v>
      </c>
      <c r="Q191" s="359" t="s">
        <v>48</v>
      </c>
      <c r="R191" s="52"/>
      <c r="S191" s="374" t="s">
        <v>46</v>
      </c>
      <c r="T191" s="375"/>
      <c r="U191" s="376"/>
      <c r="V191" s="380" t="s">
        <v>47</v>
      </c>
      <c r="W191" s="381"/>
      <c r="X191" s="381"/>
      <c r="Y191" s="381"/>
      <c r="Z191" s="381"/>
      <c r="AA191" s="381"/>
      <c r="AB191" s="381"/>
      <c r="AC191" s="381"/>
      <c r="AD191" s="382"/>
      <c r="AE191" s="359" t="s">
        <v>41</v>
      </c>
      <c r="AF191" s="359" t="s">
        <v>48</v>
      </c>
      <c r="AG191" s="80"/>
      <c r="AH191" s="81"/>
      <c r="AI191" s="81"/>
      <c r="AJ191" s="81"/>
      <c r="AK191" s="81"/>
      <c r="AL191" s="81"/>
      <c r="AM191" s="99"/>
      <c r="AN191" s="373" t="s">
        <v>1</v>
      </c>
      <c r="AO191" s="373"/>
      <c r="AP191" s="373" t="s">
        <v>2</v>
      </c>
      <c r="AQ191" s="373"/>
      <c r="AR191" s="82"/>
      <c r="AU191" s="46"/>
      <c r="AV191" s="46"/>
      <c r="AW191" s="46"/>
    </row>
    <row r="192" spans="2:49" ht="13.5" hidden="1" thickBot="1" x14ac:dyDescent="0.25">
      <c r="B192" s="59"/>
      <c r="C192" s="59"/>
      <c r="D192" s="377"/>
      <c r="E192" s="378"/>
      <c r="F192" s="379"/>
      <c r="G192" s="383"/>
      <c r="H192" s="384"/>
      <c r="I192" s="384"/>
      <c r="J192" s="384"/>
      <c r="K192" s="384"/>
      <c r="L192" s="384"/>
      <c r="M192" s="384"/>
      <c r="N192" s="384"/>
      <c r="O192" s="385"/>
      <c r="P192" s="360"/>
      <c r="Q192" s="360"/>
      <c r="R192" s="52"/>
      <c r="S192" s="377"/>
      <c r="T192" s="378"/>
      <c r="U192" s="379"/>
      <c r="V192" s="383"/>
      <c r="W192" s="384"/>
      <c r="X192" s="384"/>
      <c r="Y192" s="384"/>
      <c r="Z192" s="384"/>
      <c r="AA192" s="384"/>
      <c r="AB192" s="384"/>
      <c r="AC192" s="384"/>
      <c r="AD192" s="385"/>
      <c r="AE192" s="360"/>
      <c r="AF192" s="360"/>
      <c r="AG192" s="83"/>
      <c r="AH192" s="52"/>
      <c r="AI192" s="84" t="s">
        <v>49</v>
      </c>
      <c r="AJ192" s="84"/>
      <c r="AK192" s="84"/>
      <c r="AL192" s="84"/>
      <c r="AM192" s="84"/>
      <c r="AN192" s="84"/>
      <c r="AO192" s="85"/>
      <c r="AP192" s="85"/>
      <c r="AQ192" s="86"/>
      <c r="AR192" s="82"/>
      <c r="AU192" s="46"/>
      <c r="AV192" s="46"/>
      <c r="AW192" s="46"/>
    </row>
    <row r="193" spans="2:49" ht="13.5" hidden="1" customHeight="1" x14ac:dyDescent="0.2">
      <c r="B193" s="59"/>
      <c r="C193" s="59"/>
      <c r="D193" s="198"/>
      <c r="E193" s="191"/>
      <c r="F193" s="192"/>
      <c r="G193" s="193" t="s">
        <v>50</v>
      </c>
      <c r="H193" s="194"/>
      <c r="I193" s="194"/>
      <c r="J193" s="194"/>
      <c r="K193" s="194"/>
      <c r="L193" s="194"/>
      <c r="M193" s="194"/>
      <c r="N193" s="194"/>
      <c r="O193" s="195"/>
      <c r="P193" s="196"/>
      <c r="Q193" s="196"/>
      <c r="R193" s="197"/>
      <c r="S193" s="198"/>
      <c r="T193" s="191"/>
      <c r="U193" s="192"/>
      <c r="V193" s="193" t="s">
        <v>50</v>
      </c>
      <c r="W193" s="194"/>
      <c r="X193" s="194"/>
      <c r="Y193" s="194"/>
      <c r="Z193" s="194"/>
      <c r="AA193" s="194"/>
      <c r="AB193" s="194"/>
      <c r="AC193" s="194"/>
      <c r="AD193" s="195"/>
      <c r="AE193" s="196"/>
      <c r="AF193" s="196"/>
      <c r="AG193" s="361" t="s">
        <v>68</v>
      </c>
      <c r="AH193" s="362"/>
      <c r="AI193" s="362"/>
      <c r="AJ193" s="363"/>
      <c r="AK193" s="367" t="s">
        <v>51</v>
      </c>
      <c r="AL193" s="368"/>
      <c r="AM193" s="368"/>
      <c r="AN193" s="368"/>
      <c r="AO193" s="368"/>
      <c r="AP193" s="368"/>
      <c r="AQ193" s="369"/>
      <c r="AU193" s="46"/>
      <c r="AV193" s="46"/>
      <c r="AW193" s="46"/>
    </row>
    <row r="194" spans="2:49" ht="13.5" hidden="1" customHeight="1" thickBot="1" x14ac:dyDescent="0.25">
      <c r="B194" s="59"/>
      <c r="C194" s="59"/>
      <c r="D194" s="198"/>
      <c r="E194" s="191"/>
      <c r="F194" s="192"/>
      <c r="G194" s="199">
        <v>2</v>
      </c>
      <c r="H194" s="191"/>
      <c r="I194" s="191"/>
      <c r="J194" s="191"/>
      <c r="K194" s="191"/>
      <c r="L194" s="191"/>
      <c r="M194" s="191"/>
      <c r="N194" s="191"/>
      <c r="O194" s="192"/>
      <c r="P194" s="196"/>
      <c r="Q194" s="196"/>
      <c r="R194" s="197"/>
      <c r="S194" s="198"/>
      <c r="T194" s="191"/>
      <c r="U194" s="192"/>
      <c r="V194" s="199">
        <v>2</v>
      </c>
      <c r="W194" s="191"/>
      <c r="X194" s="191"/>
      <c r="Y194" s="191"/>
      <c r="Z194" s="191"/>
      <c r="AA194" s="191"/>
      <c r="AB194" s="191"/>
      <c r="AC194" s="191"/>
      <c r="AD194" s="192"/>
      <c r="AE194" s="196"/>
      <c r="AF194" s="196"/>
      <c r="AG194" s="364"/>
      <c r="AH194" s="365"/>
      <c r="AI194" s="365"/>
      <c r="AJ194" s="366"/>
      <c r="AK194" s="370"/>
      <c r="AL194" s="371"/>
      <c r="AM194" s="371"/>
      <c r="AN194" s="371"/>
      <c r="AO194" s="371"/>
      <c r="AP194" s="371"/>
      <c r="AQ194" s="372"/>
      <c r="AU194" s="46"/>
      <c r="AV194" s="46"/>
      <c r="AW194" s="46"/>
    </row>
    <row r="195" spans="2:49" ht="13.5" hidden="1" customHeight="1" x14ac:dyDescent="0.2">
      <c r="B195" s="59"/>
      <c r="C195" s="59"/>
      <c r="D195" s="198"/>
      <c r="E195" s="191"/>
      <c r="F195" s="192"/>
      <c r="G195" s="199">
        <v>3</v>
      </c>
      <c r="H195" s="191"/>
      <c r="I195" s="191"/>
      <c r="J195" s="191"/>
      <c r="K195" s="191"/>
      <c r="L195" s="191"/>
      <c r="M195" s="191"/>
      <c r="N195" s="191"/>
      <c r="O195" s="192"/>
      <c r="P195" s="196"/>
      <c r="Q195" s="196"/>
      <c r="R195" s="197"/>
      <c r="S195" s="198"/>
      <c r="T195" s="191"/>
      <c r="U195" s="192"/>
      <c r="V195" s="199">
        <v>3</v>
      </c>
      <c r="W195" s="191"/>
      <c r="X195" s="191"/>
      <c r="Y195" s="191"/>
      <c r="Z195" s="191"/>
      <c r="AA195" s="191"/>
      <c r="AB195" s="191"/>
      <c r="AC195" s="191"/>
      <c r="AD195" s="192"/>
      <c r="AE195" s="196"/>
      <c r="AF195" s="196"/>
      <c r="AG195" s="361" t="s">
        <v>2</v>
      </c>
      <c r="AH195" s="362"/>
      <c r="AI195" s="362"/>
      <c r="AJ195" s="363"/>
      <c r="AK195" s="367" t="s">
        <v>51</v>
      </c>
      <c r="AL195" s="368"/>
      <c r="AM195" s="368"/>
      <c r="AN195" s="368"/>
      <c r="AO195" s="368"/>
      <c r="AP195" s="368"/>
      <c r="AQ195" s="369"/>
      <c r="AU195" s="46"/>
      <c r="AV195" s="46"/>
      <c r="AW195" s="46"/>
    </row>
    <row r="196" spans="2:49" ht="13.5" hidden="1" customHeight="1" thickBot="1" x14ac:dyDescent="0.25">
      <c r="B196" s="59"/>
      <c r="C196" s="59"/>
      <c r="D196" s="198"/>
      <c r="E196" s="191"/>
      <c r="F196" s="192"/>
      <c r="G196" s="199">
        <v>4</v>
      </c>
      <c r="H196" s="191"/>
      <c r="I196" s="191"/>
      <c r="J196" s="191"/>
      <c r="K196" s="191"/>
      <c r="L196" s="191"/>
      <c r="M196" s="191"/>
      <c r="N196" s="191"/>
      <c r="O196" s="192"/>
      <c r="P196" s="196"/>
      <c r="Q196" s="196"/>
      <c r="R196" s="197"/>
      <c r="S196" s="198"/>
      <c r="T196" s="191"/>
      <c r="U196" s="192"/>
      <c r="V196" s="199">
        <v>4</v>
      </c>
      <c r="W196" s="191"/>
      <c r="X196" s="191"/>
      <c r="Y196" s="191"/>
      <c r="Z196" s="191"/>
      <c r="AA196" s="191"/>
      <c r="AB196" s="191"/>
      <c r="AC196" s="191"/>
      <c r="AD196" s="192"/>
      <c r="AE196" s="196"/>
      <c r="AF196" s="196"/>
      <c r="AG196" s="364"/>
      <c r="AH196" s="365"/>
      <c r="AI196" s="365"/>
      <c r="AJ196" s="366"/>
      <c r="AK196" s="370"/>
      <c r="AL196" s="371"/>
      <c r="AM196" s="371"/>
      <c r="AN196" s="371"/>
      <c r="AO196" s="371"/>
      <c r="AP196" s="371"/>
      <c r="AQ196" s="372"/>
      <c r="AU196" s="46"/>
      <c r="AV196" s="46"/>
      <c r="AW196" s="46"/>
    </row>
    <row r="197" spans="2:49" ht="13.5" hidden="1" customHeight="1" x14ac:dyDescent="0.2">
      <c r="B197" s="59"/>
      <c r="C197" s="59"/>
      <c r="D197" s="198"/>
      <c r="E197" s="191"/>
      <c r="F197" s="192"/>
      <c r="G197" s="199">
        <v>5</v>
      </c>
      <c r="H197" s="191"/>
      <c r="I197" s="191"/>
      <c r="J197" s="191"/>
      <c r="K197" s="191"/>
      <c r="L197" s="191"/>
      <c r="M197" s="191"/>
      <c r="N197" s="191"/>
      <c r="O197" s="192"/>
      <c r="P197" s="196"/>
      <c r="Q197" s="196"/>
      <c r="R197" s="197"/>
      <c r="S197" s="198"/>
      <c r="T197" s="191"/>
      <c r="U197" s="192"/>
      <c r="V197" s="199">
        <v>5</v>
      </c>
      <c r="W197" s="191"/>
      <c r="X197" s="191"/>
      <c r="Y197" s="191"/>
      <c r="Z197" s="191"/>
      <c r="AA197" s="191"/>
      <c r="AB197" s="191"/>
      <c r="AC197" s="191"/>
      <c r="AD197" s="192"/>
      <c r="AE197" s="196"/>
      <c r="AF197" s="196"/>
      <c r="AG197" s="87" t="s">
        <v>52</v>
      </c>
      <c r="AH197" s="55"/>
      <c r="AI197" s="55"/>
      <c r="AJ197" s="55"/>
      <c r="AK197" s="55"/>
      <c r="AL197" s="55"/>
      <c r="AM197" s="55"/>
      <c r="AN197" s="55"/>
      <c r="AO197" s="55" t="s">
        <v>53</v>
      </c>
      <c r="AP197" s="55"/>
      <c r="AQ197" s="64"/>
      <c r="AU197" s="46"/>
      <c r="AV197" s="46"/>
      <c r="AW197" s="46"/>
    </row>
    <row r="198" spans="2:49" ht="13.5" hidden="1" customHeight="1" x14ac:dyDescent="0.2">
      <c r="B198" s="59"/>
      <c r="C198" s="59"/>
      <c r="D198" s="198"/>
      <c r="E198" s="191"/>
      <c r="F198" s="192"/>
      <c r="G198" s="199">
        <v>6</v>
      </c>
      <c r="H198" s="191"/>
      <c r="I198" s="191"/>
      <c r="J198" s="191"/>
      <c r="K198" s="191"/>
      <c r="L198" s="191"/>
      <c r="M198" s="191"/>
      <c r="N198" s="191"/>
      <c r="O198" s="192"/>
      <c r="P198" s="196"/>
      <c r="Q198" s="196"/>
      <c r="R198" s="197"/>
      <c r="S198" s="198"/>
      <c r="T198" s="191"/>
      <c r="U198" s="192"/>
      <c r="V198" s="199">
        <v>6</v>
      </c>
      <c r="W198" s="191"/>
      <c r="X198" s="191"/>
      <c r="Y198" s="191"/>
      <c r="Z198" s="191"/>
      <c r="AA198" s="191"/>
      <c r="AB198" s="191"/>
      <c r="AC198" s="191"/>
      <c r="AD198" s="192"/>
      <c r="AE198" s="196"/>
      <c r="AF198" s="196"/>
      <c r="AG198" s="88"/>
      <c r="AH198" s="52"/>
      <c r="AI198" s="52"/>
      <c r="AJ198" s="52"/>
      <c r="AK198" s="52"/>
      <c r="AL198" s="52"/>
      <c r="AM198" s="52"/>
      <c r="AN198" s="52"/>
      <c r="AO198" s="52"/>
      <c r="AP198" s="52"/>
      <c r="AQ198" s="66"/>
      <c r="AU198" s="46"/>
      <c r="AV198" s="46"/>
      <c r="AW198" s="46"/>
    </row>
    <row r="199" spans="2:49" ht="13.5" hidden="1" customHeight="1" thickBot="1" x14ac:dyDescent="0.25">
      <c r="B199" s="59"/>
      <c r="C199" s="59"/>
      <c r="D199" s="198"/>
      <c r="E199" s="191"/>
      <c r="F199" s="192"/>
      <c r="G199" s="199">
        <v>7</v>
      </c>
      <c r="H199" s="191"/>
      <c r="I199" s="191"/>
      <c r="J199" s="191"/>
      <c r="K199" s="191"/>
      <c r="L199" s="191"/>
      <c r="M199" s="191"/>
      <c r="N199" s="191"/>
      <c r="O199" s="192"/>
      <c r="P199" s="196"/>
      <c r="Q199" s="196"/>
      <c r="R199" s="197"/>
      <c r="S199" s="198"/>
      <c r="T199" s="191"/>
      <c r="U199" s="192"/>
      <c r="V199" s="199">
        <v>7</v>
      </c>
      <c r="W199" s="191"/>
      <c r="X199" s="191"/>
      <c r="Y199" s="191"/>
      <c r="Z199" s="191"/>
      <c r="AA199" s="191"/>
      <c r="AB199" s="191"/>
      <c r="AC199" s="191"/>
      <c r="AD199" s="192"/>
      <c r="AE199" s="196"/>
      <c r="AF199" s="196"/>
      <c r="AG199" s="59" t="s">
        <v>54</v>
      </c>
      <c r="AH199" s="52"/>
      <c r="AI199" s="52"/>
      <c r="AJ199" s="52"/>
      <c r="AK199" s="52"/>
      <c r="AL199" s="52"/>
      <c r="AM199" s="52"/>
      <c r="AN199" s="52"/>
      <c r="AO199" s="52"/>
      <c r="AP199" s="52"/>
      <c r="AQ199" s="66"/>
      <c r="AU199" s="46"/>
      <c r="AV199" s="46"/>
      <c r="AW199" s="46"/>
    </row>
    <row r="200" spans="2:49" ht="13.5" hidden="1" customHeight="1" thickBot="1" x14ac:dyDescent="0.25">
      <c r="B200" s="59"/>
      <c r="C200" s="59"/>
      <c r="D200" s="204"/>
      <c r="E200" s="200"/>
      <c r="F200" s="201"/>
      <c r="G200" s="202">
        <v>8</v>
      </c>
      <c r="H200" s="200"/>
      <c r="I200" s="200"/>
      <c r="J200" s="200"/>
      <c r="K200" s="200"/>
      <c r="L200" s="200"/>
      <c r="M200" s="200"/>
      <c r="N200" s="200"/>
      <c r="O200" s="201"/>
      <c r="P200" s="203"/>
      <c r="Q200" s="203"/>
      <c r="R200" s="197"/>
      <c r="S200" s="204"/>
      <c r="T200" s="200"/>
      <c r="U200" s="201"/>
      <c r="V200" s="202">
        <v>8</v>
      </c>
      <c r="W200" s="200"/>
      <c r="X200" s="200"/>
      <c r="Y200" s="200"/>
      <c r="Z200" s="200"/>
      <c r="AA200" s="200"/>
      <c r="AB200" s="200"/>
      <c r="AC200" s="200"/>
      <c r="AD200" s="201"/>
      <c r="AE200" s="203"/>
      <c r="AF200" s="203"/>
      <c r="AG200" s="89" t="s">
        <v>55</v>
      </c>
      <c r="AH200" s="55"/>
      <c r="AI200" s="55"/>
      <c r="AJ200" s="55"/>
      <c r="AK200" s="55"/>
      <c r="AL200" s="55"/>
      <c r="AM200" s="55"/>
      <c r="AN200" s="55"/>
      <c r="AO200" s="55"/>
      <c r="AP200" s="55"/>
      <c r="AQ200" s="64"/>
      <c r="AU200" s="46"/>
      <c r="AV200" s="46"/>
      <c r="AW200" s="46"/>
    </row>
    <row r="201" spans="2:49" ht="13.5" hidden="1" customHeight="1" thickBot="1" x14ac:dyDescent="0.25">
      <c r="B201" s="59"/>
      <c r="C201" s="59"/>
      <c r="D201" s="74"/>
      <c r="E201" s="90"/>
      <c r="F201" s="90"/>
      <c r="G201" s="90"/>
      <c r="H201" s="90"/>
      <c r="I201" s="90"/>
      <c r="J201" s="91" t="s">
        <v>56</v>
      </c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2"/>
      <c r="AG201" s="69" t="s">
        <v>57</v>
      </c>
      <c r="AH201" s="52"/>
      <c r="AI201" s="52"/>
      <c r="AJ201" s="52"/>
      <c r="AK201" s="52"/>
      <c r="AL201" s="52"/>
      <c r="AM201" s="52"/>
      <c r="AN201" s="52"/>
      <c r="AO201" s="52"/>
      <c r="AP201" s="52"/>
      <c r="AQ201" s="66"/>
      <c r="AU201" s="46"/>
      <c r="AV201" s="46"/>
      <c r="AW201" s="46"/>
    </row>
    <row r="202" spans="2:49" ht="13.5" hidden="1" customHeight="1" thickBot="1" x14ac:dyDescent="0.25">
      <c r="B202" s="59"/>
      <c r="C202" s="59"/>
      <c r="D202" s="93" t="s">
        <v>58</v>
      </c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2"/>
      <c r="S202" s="93" t="s">
        <v>59</v>
      </c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2"/>
      <c r="AG202" s="94" t="s">
        <v>60</v>
      </c>
      <c r="AH202" s="95"/>
      <c r="AI202" s="95"/>
      <c r="AJ202" s="95"/>
      <c r="AK202" s="95"/>
      <c r="AL202" s="72"/>
      <c r="AM202" s="96" t="s">
        <v>61</v>
      </c>
      <c r="AN202" s="95"/>
      <c r="AO202" s="95"/>
      <c r="AP202" s="95"/>
      <c r="AQ202" s="72"/>
      <c r="AU202" s="46"/>
      <c r="AV202" s="46"/>
      <c r="AW202" s="46"/>
    </row>
    <row r="203" spans="2:49" ht="17.25" hidden="1" customHeight="1" thickBot="1" x14ac:dyDescent="0.25">
      <c r="B203" s="57"/>
      <c r="C203" s="57"/>
      <c r="D203" s="93" t="s">
        <v>62</v>
      </c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2"/>
      <c r="S203" s="93" t="s">
        <v>6</v>
      </c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2"/>
      <c r="AG203" s="97" t="s">
        <v>63</v>
      </c>
      <c r="AH203" s="58"/>
      <c r="AI203" s="58"/>
      <c r="AJ203" s="58"/>
      <c r="AK203" s="58"/>
      <c r="AL203" s="72"/>
      <c r="AM203" s="98" t="s">
        <v>64</v>
      </c>
      <c r="AN203" s="58"/>
      <c r="AO203" s="58"/>
      <c r="AP203" s="58"/>
      <c r="AQ203" s="72"/>
      <c r="AU203" s="46"/>
      <c r="AV203" s="46"/>
      <c r="AW203" s="46"/>
    </row>
    <row r="204" spans="2:49" hidden="1" x14ac:dyDescent="0.2">
      <c r="AU204" s="46"/>
      <c r="AV204" s="46"/>
      <c r="AW204" s="46"/>
    </row>
    <row r="205" spans="2:49" ht="15.75" hidden="1" customHeight="1" thickBot="1" x14ac:dyDescent="0.25">
      <c r="AA205" s="52"/>
      <c r="AB205" s="52"/>
      <c r="AC205" s="52"/>
      <c r="AD205" s="52"/>
      <c r="AE205" s="52"/>
      <c r="AF205" s="52"/>
      <c r="AG205" s="52"/>
      <c r="AH205" s="52"/>
      <c r="AU205" s="46"/>
      <c r="AV205" s="46"/>
      <c r="AW205" s="46"/>
    </row>
    <row r="206" spans="2:49" ht="17.25" hidden="1" customHeight="1" x14ac:dyDescent="0.25">
      <c r="B206" s="53"/>
      <c r="C206" s="53"/>
      <c r="D206" s="54" t="s">
        <v>29</v>
      </c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6" t="s">
        <v>73</v>
      </c>
      <c r="Z206" s="55"/>
      <c r="AA206" s="55"/>
      <c r="AB206" s="55"/>
      <c r="AC206" s="55"/>
      <c r="AD206" s="55"/>
      <c r="AE206" s="55"/>
      <c r="AF206" s="55"/>
      <c r="AG206" s="55"/>
      <c r="AH206" s="433" t="s">
        <v>30</v>
      </c>
      <c r="AI206" s="434"/>
      <c r="AJ206" s="434"/>
      <c r="AK206" s="434"/>
      <c r="AL206" s="434"/>
      <c r="AM206" s="435" t="str">
        <f>IF(($AU$9+6)&gt;$AX$9,"",VLOOKUP($AU$9+6,Spielplan,3,0))</f>
        <v/>
      </c>
      <c r="AN206" s="435"/>
      <c r="AO206" s="435"/>
      <c r="AP206" s="435"/>
      <c r="AQ206" s="436"/>
      <c r="AU206" s="46"/>
      <c r="AV206" s="46"/>
      <c r="AW206" s="46"/>
    </row>
    <row r="207" spans="2:49" ht="0.75" hidden="1" customHeight="1" thickBot="1" x14ac:dyDescent="0.25">
      <c r="B207" s="57"/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9"/>
      <c r="AI207" s="52"/>
      <c r="AJ207" s="52"/>
      <c r="AK207" s="52"/>
      <c r="AL207" s="52"/>
      <c r="AM207" s="60"/>
      <c r="AN207" s="60"/>
      <c r="AO207" s="60"/>
      <c r="AP207" s="60"/>
      <c r="AQ207" s="61"/>
      <c r="AU207" s="46"/>
      <c r="AV207" s="46"/>
      <c r="AW207" s="46"/>
    </row>
    <row r="208" spans="2:49" ht="15" hidden="1" x14ac:dyDescent="0.25">
      <c r="B208" s="53"/>
      <c r="C208" s="62"/>
      <c r="D208" s="53"/>
      <c r="E208" s="63" t="s">
        <v>6</v>
      </c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64"/>
      <c r="S208" s="437" t="s">
        <v>31</v>
      </c>
      <c r="T208" s="438"/>
      <c r="U208" s="438"/>
      <c r="V208" s="438"/>
      <c r="W208" s="438"/>
      <c r="X208" s="438"/>
      <c r="Y208" s="362" t="str">
        <f>IF(($AU$9+6)&gt;$AX$9,"","SHTV")</f>
        <v/>
      </c>
      <c r="Z208" s="362"/>
      <c r="AA208" s="362"/>
      <c r="AB208" s="362"/>
      <c r="AC208" s="362"/>
      <c r="AD208" s="362"/>
      <c r="AE208" s="362"/>
      <c r="AF208" s="362"/>
      <c r="AG208" s="362"/>
      <c r="AH208" s="416" t="s">
        <v>32</v>
      </c>
      <c r="AI208" s="417"/>
      <c r="AJ208" s="417"/>
      <c r="AK208" s="417"/>
      <c r="AL208" s="417"/>
      <c r="AM208" s="420" t="str">
        <f>IF(($AU$9+6)&gt;$AX$9,"",VLOOKUP($AU$9+6,Spielplan,4,0))</f>
        <v/>
      </c>
      <c r="AN208" s="421"/>
      <c r="AO208" s="421"/>
      <c r="AP208" s="421"/>
      <c r="AQ208" s="422"/>
      <c r="AU208" s="46"/>
      <c r="AV208" s="46"/>
      <c r="AW208" s="46"/>
    </row>
    <row r="209" spans="2:49" ht="9.9499999999999993" hidden="1" customHeight="1" x14ac:dyDescent="0.2">
      <c r="B209" s="59"/>
      <c r="C209" s="65"/>
      <c r="D209" s="59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66"/>
      <c r="S209" s="400"/>
      <c r="T209" s="399"/>
      <c r="U209" s="399"/>
      <c r="V209" s="399"/>
      <c r="W209" s="399"/>
      <c r="X209" s="399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18"/>
      <c r="AI209" s="419"/>
      <c r="AJ209" s="419"/>
      <c r="AK209" s="419"/>
      <c r="AL209" s="419"/>
      <c r="AM209" s="423"/>
      <c r="AN209" s="423"/>
      <c r="AO209" s="423"/>
      <c r="AP209" s="423"/>
      <c r="AQ209" s="424"/>
      <c r="AU209" s="46"/>
      <c r="AV209" s="46"/>
      <c r="AW209" s="46"/>
    </row>
    <row r="210" spans="2:49" ht="13.15" hidden="1" customHeight="1" x14ac:dyDescent="0.2">
      <c r="B210" s="59"/>
      <c r="C210" s="65"/>
      <c r="D210" s="59"/>
      <c r="E210" s="52" t="s">
        <v>33</v>
      </c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66"/>
      <c r="S210" s="398" t="s">
        <v>34</v>
      </c>
      <c r="T210" s="399"/>
      <c r="U210" s="399"/>
      <c r="V210" s="399"/>
      <c r="W210" s="399"/>
      <c r="X210" s="399"/>
      <c r="Y210" s="402" t="str">
        <f>IF(($AU$9+6)&gt;$AX$9,"",Platzierung!$U$3)</f>
        <v/>
      </c>
      <c r="Z210" s="402"/>
      <c r="AA210" s="402"/>
      <c r="AB210" s="402"/>
      <c r="AC210" s="402"/>
      <c r="AD210" s="402"/>
      <c r="AE210" s="402"/>
      <c r="AF210" s="402"/>
      <c r="AG210" s="402"/>
      <c r="AH210" s="416" t="s">
        <v>35</v>
      </c>
      <c r="AI210" s="417"/>
      <c r="AJ210" s="417"/>
      <c r="AK210" s="417"/>
      <c r="AL210" s="417"/>
      <c r="AM210" s="420" t="str">
        <f>IF(($AU$9+6)&gt;$AX$9,"",VLOOKUP($AU$9+6,Spielplan,6,0))</f>
        <v/>
      </c>
      <c r="AN210" s="421"/>
      <c r="AO210" s="421"/>
      <c r="AP210" s="421"/>
      <c r="AQ210" s="422"/>
      <c r="AU210" s="46"/>
      <c r="AV210" s="46"/>
      <c r="AW210" s="46"/>
    </row>
    <row r="211" spans="2:49" ht="9.9499999999999993" hidden="1" customHeight="1" x14ac:dyDescent="0.2">
      <c r="B211" s="59"/>
      <c r="C211" s="65"/>
      <c r="D211" s="59"/>
      <c r="E211" s="52"/>
      <c r="F211" s="52"/>
      <c r="G211" s="52"/>
      <c r="H211" s="52"/>
      <c r="I211" s="52"/>
      <c r="J211" s="67" t="s">
        <v>36</v>
      </c>
      <c r="K211" s="52"/>
      <c r="L211" s="52"/>
      <c r="M211" s="52"/>
      <c r="N211" s="52"/>
      <c r="O211" s="52"/>
      <c r="P211" s="52"/>
      <c r="Q211" s="52"/>
      <c r="R211" s="66"/>
      <c r="S211" s="400"/>
      <c r="T211" s="399"/>
      <c r="U211" s="399"/>
      <c r="V211" s="399"/>
      <c r="W211" s="399"/>
      <c r="X211" s="399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18"/>
      <c r="AI211" s="419"/>
      <c r="AJ211" s="419"/>
      <c r="AK211" s="419"/>
      <c r="AL211" s="419"/>
      <c r="AM211" s="423"/>
      <c r="AN211" s="423"/>
      <c r="AO211" s="423"/>
      <c r="AP211" s="423"/>
      <c r="AQ211" s="424"/>
      <c r="AU211" s="46"/>
      <c r="AV211" s="46"/>
      <c r="AW211" s="46"/>
    </row>
    <row r="212" spans="2:49" ht="15.75" hidden="1" customHeight="1" x14ac:dyDescent="0.2">
      <c r="B212" s="59"/>
      <c r="C212" s="65"/>
      <c r="D212" s="394" t="str">
        <f>IF(($AU$9+6)&gt;$AX$9,"",VLOOKUP($AU$9+6,Spielplan,10,0))</f>
        <v/>
      </c>
      <c r="E212" s="395"/>
      <c r="F212" s="395"/>
      <c r="G212" s="395"/>
      <c r="H212" s="395"/>
      <c r="I212" s="395"/>
      <c r="J212" s="395"/>
      <c r="K212" s="395"/>
      <c r="L212" s="395"/>
      <c r="M212" s="395"/>
      <c r="N212" s="395"/>
      <c r="O212" s="395"/>
      <c r="P212" s="395"/>
      <c r="Q212" s="395"/>
      <c r="R212" s="396"/>
      <c r="S212" s="398" t="s">
        <v>37</v>
      </c>
      <c r="T212" s="399"/>
      <c r="U212" s="399"/>
      <c r="V212" s="399"/>
      <c r="W212" s="399"/>
      <c r="X212" s="399"/>
      <c r="Y212" s="401" t="str">
        <f>IF(($AU$9+6)&gt;$AX$9,"",VLOOKUP($AU$9+6,Spielplan,2,0))</f>
        <v/>
      </c>
      <c r="Z212" s="402"/>
      <c r="AA212" s="402"/>
      <c r="AB212" s="402"/>
      <c r="AC212" s="402"/>
      <c r="AD212" s="402"/>
      <c r="AE212" s="402"/>
      <c r="AF212" s="402"/>
      <c r="AG212" s="402"/>
      <c r="AH212" s="403" t="s">
        <v>38</v>
      </c>
      <c r="AI212" s="399"/>
      <c r="AJ212" s="399"/>
      <c r="AK212" s="399"/>
      <c r="AL212" s="399"/>
      <c r="AM212" s="425" t="str">
        <f>IF(($AU$9+6)&gt;$AX$9,"",VLOOKUP($AU$9+6,Spielplan,5,0))</f>
        <v/>
      </c>
      <c r="AN212" s="426"/>
      <c r="AO212" s="426"/>
      <c r="AP212" s="426"/>
      <c r="AQ212" s="427"/>
      <c r="AU212" s="46"/>
      <c r="AV212" s="46"/>
      <c r="AW212" s="46"/>
    </row>
    <row r="213" spans="2:49" ht="11.1" hidden="1" customHeight="1" thickBot="1" x14ac:dyDescent="0.25">
      <c r="B213" s="59"/>
      <c r="C213" s="65"/>
      <c r="D213" s="397"/>
      <c r="E213" s="395"/>
      <c r="F213" s="395"/>
      <c r="G213" s="395"/>
      <c r="H213" s="395"/>
      <c r="I213" s="395"/>
      <c r="J213" s="395"/>
      <c r="K213" s="395"/>
      <c r="L213" s="395"/>
      <c r="M213" s="395"/>
      <c r="N213" s="395"/>
      <c r="O213" s="395"/>
      <c r="P213" s="395"/>
      <c r="Q213" s="395"/>
      <c r="R213" s="396"/>
      <c r="S213" s="400"/>
      <c r="T213" s="399"/>
      <c r="U213" s="399"/>
      <c r="V213" s="399"/>
      <c r="W213" s="399"/>
      <c r="X213" s="399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4"/>
      <c r="AI213" s="405"/>
      <c r="AJ213" s="405"/>
      <c r="AK213" s="405"/>
      <c r="AL213" s="405"/>
      <c r="AM213" s="428"/>
      <c r="AN213" s="428"/>
      <c r="AO213" s="428"/>
      <c r="AP213" s="428"/>
      <c r="AQ213" s="429"/>
      <c r="AU213" s="46"/>
      <c r="AV213" s="46"/>
      <c r="AW213" s="46"/>
    </row>
    <row r="214" spans="2:49" ht="11.1" hidden="1" customHeight="1" thickBot="1" x14ac:dyDescent="0.25">
      <c r="B214" s="59"/>
      <c r="C214" s="65"/>
      <c r="D214" s="57"/>
      <c r="E214" s="58"/>
      <c r="F214" s="58"/>
      <c r="G214" s="58"/>
      <c r="H214" s="58"/>
      <c r="I214" s="58"/>
      <c r="J214" s="58" t="s">
        <v>39</v>
      </c>
      <c r="K214" s="58"/>
      <c r="L214" s="58"/>
      <c r="M214" s="58"/>
      <c r="N214" s="58"/>
      <c r="O214" s="52"/>
      <c r="P214" s="52"/>
      <c r="Q214" s="58"/>
      <c r="R214" s="68"/>
      <c r="S214" s="59"/>
      <c r="T214" s="52"/>
      <c r="U214" s="52"/>
      <c r="V214" s="52"/>
      <c r="W214" s="52"/>
      <c r="X214" s="52"/>
      <c r="Y214" s="430"/>
      <c r="Z214" s="430"/>
      <c r="AA214" s="430"/>
      <c r="AB214" s="430"/>
      <c r="AC214" s="430"/>
      <c r="AD214" s="430"/>
      <c r="AE214" s="430"/>
      <c r="AF214" s="431"/>
      <c r="AG214" s="432"/>
      <c r="AH214" s="69" t="s">
        <v>40</v>
      </c>
      <c r="AI214" s="52"/>
      <c r="AJ214" s="52"/>
      <c r="AK214" s="52"/>
      <c r="AL214" s="52"/>
      <c r="AM214" s="52"/>
      <c r="AN214" s="52"/>
      <c r="AO214" s="70"/>
      <c r="AP214" s="52"/>
      <c r="AQ214" s="66"/>
      <c r="AU214" s="46"/>
      <c r="AV214" s="46"/>
      <c r="AW214" s="46"/>
    </row>
    <row r="215" spans="2:49" ht="13.5" hidden="1" customHeight="1" thickBot="1" x14ac:dyDescent="0.3">
      <c r="B215" s="59"/>
      <c r="C215" s="65"/>
      <c r="D215" s="53"/>
      <c r="E215" s="63" t="s">
        <v>8</v>
      </c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388" t="s">
        <v>41</v>
      </c>
      <c r="R215" s="53"/>
      <c r="S215" s="53"/>
      <c r="T215" s="63" t="s">
        <v>7</v>
      </c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64"/>
      <c r="AF215" s="391" t="s">
        <v>41</v>
      </c>
      <c r="AG215" s="59"/>
      <c r="AH215" s="71" t="s">
        <v>42</v>
      </c>
      <c r="AI215" s="58"/>
      <c r="AJ215" s="58"/>
      <c r="AK215" s="58"/>
      <c r="AL215" s="58"/>
      <c r="AM215" s="58"/>
      <c r="AN215" s="58"/>
      <c r="AO215" s="72"/>
      <c r="AP215" s="52"/>
      <c r="AQ215" s="66"/>
      <c r="AU215" s="46"/>
      <c r="AV215" s="46"/>
      <c r="AW215" s="46"/>
    </row>
    <row r="216" spans="2:49" ht="12" hidden="1" customHeight="1" thickBot="1" x14ac:dyDescent="0.25">
      <c r="B216" s="59"/>
      <c r="C216" s="65"/>
      <c r="D216" s="394" t="str">
        <f>IF(($AU$9+6)&gt;$AX$9,"",VLOOKUP($AU$9+6,Spielplan,7,0))</f>
        <v/>
      </c>
      <c r="E216" s="395"/>
      <c r="F216" s="395"/>
      <c r="G216" s="395"/>
      <c r="H216" s="395"/>
      <c r="I216" s="395"/>
      <c r="J216" s="395"/>
      <c r="K216" s="395"/>
      <c r="L216" s="395"/>
      <c r="M216" s="395"/>
      <c r="N216" s="395"/>
      <c r="O216" s="395"/>
      <c r="P216" s="396"/>
      <c r="Q216" s="389"/>
      <c r="R216" s="59"/>
      <c r="S216" s="394" t="str">
        <f>IF(($AU$9+6)&gt;$AX$9,"",VLOOKUP($AU$9+6,Spielplan,9,0))</f>
        <v/>
      </c>
      <c r="T216" s="395"/>
      <c r="U216" s="395"/>
      <c r="V216" s="395"/>
      <c r="W216" s="395"/>
      <c r="X216" s="395"/>
      <c r="Y216" s="395"/>
      <c r="Z216" s="395"/>
      <c r="AA216" s="395"/>
      <c r="AB216" s="395"/>
      <c r="AC216" s="395"/>
      <c r="AD216" s="395"/>
      <c r="AE216" s="409"/>
      <c r="AF216" s="392"/>
      <c r="AG216" s="59"/>
      <c r="AH216" s="410" t="s">
        <v>43</v>
      </c>
      <c r="AI216" s="411"/>
      <c r="AJ216" s="411"/>
      <c r="AK216" s="411"/>
      <c r="AL216" s="411"/>
      <c r="AM216" s="412"/>
      <c r="AN216" s="73" t="s">
        <v>44</v>
      </c>
      <c r="AO216" s="74"/>
      <c r="AP216" s="74"/>
      <c r="AQ216" s="72"/>
      <c r="AU216" s="46"/>
      <c r="AV216" s="46"/>
      <c r="AW216" s="46"/>
    </row>
    <row r="217" spans="2:49" ht="12" hidden="1" customHeight="1" thickBot="1" x14ac:dyDescent="0.25">
      <c r="B217" s="57"/>
      <c r="C217" s="70"/>
      <c r="D217" s="406"/>
      <c r="E217" s="407"/>
      <c r="F217" s="407"/>
      <c r="G217" s="407"/>
      <c r="H217" s="407"/>
      <c r="I217" s="407"/>
      <c r="J217" s="407"/>
      <c r="K217" s="407"/>
      <c r="L217" s="407"/>
      <c r="M217" s="407"/>
      <c r="N217" s="407"/>
      <c r="O217" s="407"/>
      <c r="P217" s="408"/>
      <c r="Q217" s="390"/>
      <c r="R217" s="57"/>
      <c r="S217" s="406"/>
      <c r="T217" s="407"/>
      <c r="U217" s="407"/>
      <c r="V217" s="407"/>
      <c r="W217" s="407"/>
      <c r="X217" s="407"/>
      <c r="Y217" s="407"/>
      <c r="Z217" s="407"/>
      <c r="AA217" s="407"/>
      <c r="AB217" s="407"/>
      <c r="AC217" s="407"/>
      <c r="AD217" s="407"/>
      <c r="AE217" s="385"/>
      <c r="AF217" s="393"/>
      <c r="AG217" s="57"/>
      <c r="AH217" s="413"/>
      <c r="AI217" s="414"/>
      <c r="AJ217" s="414"/>
      <c r="AK217" s="414"/>
      <c r="AL217" s="414"/>
      <c r="AM217" s="415"/>
      <c r="AN217" s="73" t="s">
        <v>45</v>
      </c>
      <c r="AO217" s="74"/>
      <c r="AP217" s="74"/>
      <c r="AQ217" s="72"/>
      <c r="AU217" s="46"/>
      <c r="AV217" s="46"/>
      <c r="AW217" s="46"/>
    </row>
    <row r="218" spans="2:49" ht="9.9499999999999993" hidden="1" customHeight="1" thickBot="1" x14ac:dyDescent="0.25">
      <c r="B218" s="59"/>
      <c r="C218" s="59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66"/>
      <c r="AU218" s="46"/>
      <c r="AV218" s="46"/>
      <c r="AW218" s="46"/>
    </row>
    <row r="219" spans="2:49" hidden="1" x14ac:dyDescent="0.2">
      <c r="B219" s="53"/>
      <c r="C219" s="62" t="s">
        <v>44</v>
      </c>
      <c r="D219" s="75"/>
      <c r="E219" s="76"/>
      <c r="F219" s="76"/>
      <c r="G219" s="76"/>
      <c r="H219" s="77"/>
      <c r="I219" s="75"/>
      <c r="J219" s="76"/>
      <c r="K219" s="76"/>
      <c r="L219" s="76"/>
      <c r="M219" s="77"/>
      <c r="N219" s="75"/>
      <c r="O219" s="76"/>
      <c r="P219" s="76"/>
      <c r="Q219" s="76"/>
      <c r="R219" s="77"/>
      <c r="S219" s="75"/>
      <c r="T219" s="76"/>
      <c r="U219" s="76"/>
      <c r="V219" s="76"/>
      <c r="W219" s="77"/>
      <c r="X219" s="75"/>
      <c r="Y219" s="76"/>
      <c r="Z219" s="76"/>
      <c r="AA219" s="76"/>
      <c r="AB219" s="77"/>
      <c r="AC219" s="75"/>
      <c r="AD219" s="76"/>
      <c r="AE219" s="76"/>
      <c r="AF219" s="76"/>
      <c r="AG219" s="77"/>
      <c r="AH219" s="75"/>
      <c r="AI219" s="76"/>
      <c r="AJ219" s="76"/>
      <c r="AK219" s="76"/>
      <c r="AL219" s="76"/>
      <c r="AM219" s="188" t="s">
        <v>44</v>
      </c>
      <c r="AN219" s="386"/>
      <c r="AO219" s="386"/>
      <c r="AP219" s="386"/>
      <c r="AQ219" s="387"/>
      <c r="AU219" s="46"/>
      <c r="AV219" s="46"/>
      <c r="AW219" s="46"/>
    </row>
    <row r="220" spans="2:49" ht="13.5" hidden="1" thickBot="1" x14ac:dyDescent="0.25">
      <c r="B220" s="57"/>
      <c r="C220" s="70" t="s">
        <v>45</v>
      </c>
      <c r="D220" s="57"/>
      <c r="E220" s="78"/>
      <c r="F220" s="78"/>
      <c r="G220" s="78"/>
      <c r="H220" s="79"/>
      <c r="I220" s="57"/>
      <c r="J220" s="78"/>
      <c r="K220" s="78"/>
      <c r="L220" s="78"/>
      <c r="M220" s="79"/>
      <c r="N220" s="57"/>
      <c r="O220" s="78"/>
      <c r="P220" s="78"/>
      <c r="Q220" s="78"/>
      <c r="R220" s="79"/>
      <c r="S220" s="57"/>
      <c r="T220" s="78"/>
      <c r="U220" s="78"/>
      <c r="V220" s="78"/>
      <c r="W220" s="79"/>
      <c r="X220" s="57"/>
      <c r="Y220" s="78"/>
      <c r="Z220" s="78"/>
      <c r="AA220" s="78"/>
      <c r="AB220" s="79"/>
      <c r="AC220" s="57"/>
      <c r="AD220" s="78"/>
      <c r="AE220" s="78"/>
      <c r="AF220" s="78"/>
      <c r="AG220" s="79"/>
      <c r="AH220" s="57"/>
      <c r="AI220" s="78"/>
      <c r="AJ220" s="78"/>
      <c r="AK220" s="78"/>
      <c r="AL220" s="78"/>
      <c r="AM220" s="190" t="s">
        <v>45</v>
      </c>
      <c r="AN220" s="323"/>
      <c r="AO220" s="323"/>
      <c r="AP220" s="323"/>
      <c r="AQ220" s="324"/>
      <c r="AU220" s="46"/>
      <c r="AV220" s="46"/>
      <c r="AW220" s="46"/>
    </row>
    <row r="221" spans="2:49" hidden="1" x14ac:dyDescent="0.2">
      <c r="B221" s="53"/>
      <c r="C221" s="62" t="s">
        <v>44</v>
      </c>
      <c r="D221" s="75"/>
      <c r="E221" s="76"/>
      <c r="F221" s="76"/>
      <c r="G221" s="76"/>
      <c r="H221" s="77"/>
      <c r="I221" s="75"/>
      <c r="J221" s="76"/>
      <c r="K221" s="76"/>
      <c r="L221" s="76"/>
      <c r="M221" s="77"/>
      <c r="N221" s="75"/>
      <c r="O221" s="76"/>
      <c r="P221" s="76"/>
      <c r="Q221" s="76"/>
      <c r="R221" s="77"/>
      <c r="S221" s="75"/>
      <c r="T221" s="76"/>
      <c r="U221" s="76"/>
      <c r="V221" s="76"/>
      <c r="W221" s="77"/>
      <c r="X221" s="75"/>
      <c r="Y221" s="76"/>
      <c r="Z221" s="76"/>
      <c r="AA221" s="76"/>
      <c r="AB221" s="77"/>
      <c r="AC221" s="75"/>
      <c r="AD221" s="76"/>
      <c r="AE221" s="76"/>
      <c r="AF221" s="76"/>
      <c r="AG221" s="77"/>
      <c r="AH221" s="75"/>
      <c r="AI221" s="76"/>
      <c r="AJ221" s="76"/>
      <c r="AK221" s="76"/>
      <c r="AL221" s="76"/>
      <c r="AM221" s="188" t="s">
        <v>44</v>
      </c>
      <c r="AN221" s="386"/>
      <c r="AO221" s="386"/>
      <c r="AP221" s="386"/>
      <c r="AQ221" s="387"/>
      <c r="AU221" s="46"/>
      <c r="AV221" s="46"/>
      <c r="AW221" s="46"/>
    </row>
    <row r="222" spans="2:49" ht="13.5" hidden="1" thickBot="1" x14ac:dyDescent="0.25">
      <c r="B222" s="57"/>
      <c r="C222" s="70" t="s">
        <v>45</v>
      </c>
      <c r="D222" s="57"/>
      <c r="E222" s="78"/>
      <c r="F222" s="78"/>
      <c r="G222" s="78"/>
      <c r="H222" s="79"/>
      <c r="I222" s="57"/>
      <c r="J222" s="78"/>
      <c r="K222" s="78"/>
      <c r="L222" s="78"/>
      <c r="M222" s="79"/>
      <c r="N222" s="57"/>
      <c r="O222" s="78"/>
      <c r="P222" s="78"/>
      <c r="Q222" s="78"/>
      <c r="R222" s="79"/>
      <c r="S222" s="57"/>
      <c r="T222" s="78"/>
      <c r="U222" s="78"/>
      <c r="V222" s="78"/>
      <c r="W222" s="79"/>
      <c r="X222" s="57"/>
      <c r="Y222" s="78"/>
      <c r="Z222" s="78"/>
      <c r="AA222" s="78"/>
      <c r="AB222" s="79"/>
      <c r="AC222" s="57"/>
      <c r="AD222" s="78"/>
      <c r="AE222" s="78"/>
      <c r="AF222" s="78"/>
      <c r="AG222" s="79"/>
      <c r="AH222" s="57"/>
      <c r="AI222" s="78"/>
      <c r="AJ222" s="78"/>
      <c r="AK222" s="78"/>
      <c r="AL222" s="78"/>
      <c r="AM222" s="189" t="s">
        <v>45</v>
      </c>
      <c r="AN222" s="338"/>
      <c r="AO222" s="338"/>
      <c r="AP222" s="338"/>
      <c r="AQ222" s="339"/>
      <c r="AU222" s="46"/>
      <c r="AV222" s="46"/>
      <c r="AW222" s="46"/>
    </row>
    <row r="223" spans="2:49" hidden="1" x14ac:dyDescent="0.2">
      <c r="B223" s="53"/>
      <c r="C223" s="62" t="s">
        <v>44</v>
      </c>
      <c r="D223" s="75"/>
      <c r="E223" s="76"/>
      <c r="F223" s="76"/>
      <c r="G223" s="76"/>
      <c r="H223" s="77"/>
      <c r="I223" s="75"/>
      <c r="J223" s="76"/>
      <c r="K223" s="76"/>
      <c r="L223" s="76"/>
      <c r="M223" s="77"/>
      <c r="N223" s="75"/>
      <c r="O223" s="76"/>
      <c r="P223" s="76"/>
      <c r="Q223" s="76"/>
      <c r="R223" s="77"/>
      <c r="S223" s="75"/>
      <c r="T223" s="76"/>
      <c r="U223" s="76"/>
      <c r="V223" s="76"/>
      <c r="W223" s="77"/>
      <c r="X223" s="75"/>
      <c r="Y223" s="76"/>
      <c r="Z223" s="76"/>
      <c r="AA223" s="76"/>
      <c r="AB223" s="77"/>
      <c r="AC223" s="75"/>
      <c r="AD223" s="76"/>
      <c r="AE223" s="76"/>
      <c r="AF223" s="76"/>
      <c r="AG223" s="77"/>
      <c r="AH223" s="75"/>
      <c r="AI223" s="76"/>
      <c r="AJ223" s="76"/>
      <c r="AK223" s="76"/>
      <c r="AL223" s="76"/>
      <c r="AM223" s="188" t="s">
        <v>44</v>
      </c>
      <c r="AN223" s="386"/>
      <c r="AO223" s="386"/>
      <c r="AP223" s="386"/>
      <c r="AQ223" s="387"/>
      <c r="AU223" s="46"/>
      <c r="AV223" s="46"/>
      <c r="AW223" s="46"/>
    </row>
    <row r="224" spans="2:49" ht="13.5" hidden="1" thickBot="1" x14ac:dyDescent="0.25">
      <c r="B224" s="57"/>
      <c r="C224" s="70" t="s">
        <v>45</v>
      </c>
      <c r="D224" s="57"/>
      <c r="E224" s="78"/>
      <c r="F224" s="78"/>
      <c r="G224" s="78"/>
      <c r="H224" s="79"/>
      <c r="I224" s="57"/>
      <c r="J224" s="78"/>
      <c r="K224" s="78"/>
      <c r="L224" s="78"/>
      <c r="M224" s="79"/>
      <c r="N224" s="57"/>
      <c r="O224" s="78"/>
      <c r="P224" s="78"/>
      <c r="Q224" s="78"/>
      <c r="R224" s="79"/>
      <c r="S224" s="57"/>
      <c r="T224" s="78"/>
      <c r="U224" s="78"/>
      <c r="V224" s="78"/>
      <c r="W224" s="79"/>
      <c r="X224" s="57"/>
      <c r="Y224" s="78"/>
      <c r="Z224" s="78"/>
      <c r="AA224" s="78"/>
      <c r="AB224" s="79"/>
      <c r="AC224" s="57"/>
      <c r="AD224" s="78"/>
      <c r="AE224" s="78"/>
      <c r="AF224" s="78"/>
      <c r="AG224" s="79"/>
      <c r="AH224" s="57"/>
      <c r="AI224" s="78"/>
      <c r="AJ224" s="78"/>
      <c r="AK224" s="78"/>
      <c r="AL224" s="78"/>
      <c r="AM224" s="189" t="s">
        <v>45</v>
      </c>
      <c r="AN224" s="338"/>
      <c r="AO224" s="338"/>
      <c r="AP224" s="338"/>
      <c r="AQ224" s="339"/>
      <c r="AU224" s="46"/>
      <c r="AV224" s="46"/>
      <c r="AW224" s="46"/>
    </row>
    <row r="225" spans="2:49" ht="9.9499999999999993" hidden="1" customHeight="1" x14ac:dyDescent="0.2">
      <c r="B225" s="59"/>
      <c r="C225" s="59"/>
      <c r="D225" s="374" t="s">
        <v>46</v>
      </c>
      <c r="E225" s="375"/>
      <c r="F225" s="376"/>
      <c r="G225" s="380" t="s">
        <v>47</v>
      </c>
      <c r="H225" s="381"/>
      <c r="I225" s="381"/>
      <c r="J225" s="381"/>
      <c r="K225" s="381"/>
      <c r="L225" s="381"/>
      <c r="M225" s="381"/>
      <c r="N225" s="381"/>
      <c r="O225" s="382"/>
      <c r="P225" s="359" t="s">
        <v>41</v>
      </c>
      <c r="Q225" s="359" t="s">
        <v>48</v>
      </c>
      <c r="R225" s="52"/>
      <c r="S225" s="374" t="s">
        <v>46</v>
      </c>
      <c r="T225" s="375"/>
      <c r="U225" s="376"/>
      <c r="V225" s="380" t="s">
        <v>47</v>
      </c>
      <c r="W225" s="381"/>
      <c r="X225" s="381"/>
      <c r="Y225" s="381"/>
      <c r="Z225" s="381"/>
      <c r="AA225" s="381"/>
      <c r="AB225" s="381"/>
      <c r="AC225" s="381"/>
      <c r="AD225" s="382"/>
      <c r="AE225" s="359" t="s">
        <v>41</v>
      </c>
      <c r="AF225" s="359" t="s">
        <v>48</v>
      </c>
      <c r="AG225" s="80"/>
      <c r="AH225" s="81"/>
      <c r="AI225" s="81"/>
      <c r="AJ225" s="81"/>
      <c r="AK225" s="81"/>
      <c r="AL225" s="81"/>
      <c r="AM225" s="99"/>
      <c r="AN225" s="373" t="s">
        <v>1</v>
      </c>
      <c r="AO225" s="373"/>
      <c r="AP225" s="373" t="s">
        <v>2</v>
      </c>
      <c r="AQ225" s="373"/>
      <c r="AR225" s="82"/>
      <c r="AU225" s="46"/>
      <c r="AV225" s="46"/>
      <c r="AW225" s="46"/>
    </row>
    <row r="226" spans="2:49" ht="13.5" hidden="1" thickBot="1" x14ac:dyDescent="0.25">
      <c r="B226" s="59"/>
      <c r="C226" s="59"/>
      <c r="D226" s="377"/>
      <c r="E226" s="378"/>
      <c r="F226" s="379"/>
      <c r="G226" s="383"/>
      <c r="H226" s="384"/>
      <c r="I226" s="384"/>
      <c r="J226" s="384"/>
      <c r="K226" s="384"/>
      <c r="L226" s="384"/>
      <c r="M226" s="384"/>
      <c r="N226" s="384"/>
      <c r="O226" s="385"/>
      <c r="P226" s="360"/>
      <c r="Q226" s="360"/>
      <c r="R226" s="52"/>
      <c r="S226" s="377"/>
      <c r="T226" s="378"/>
      <c r="U226" s="379"/>
      <c r="V226" s="383"/>
      <c r="W226" s="384"/>
      <c r="X226" s="384"/>
      <c r="Y226" s="384"/>
      <c r="Z226" s="384"/>
      <c r="AA226" s="384"/>
      <c r="AB226" s="384"/>
      <c r="AC226" s="384"/>
      <c r="AD226" s="385"/>
      <c r="AE226" s="360"/>
      <c r="AF226" s="360"/>
      <c r="AG226" s="83"/>
      <c r="AH226" s="52"/>
      <c r="AI226" s="84" t="s">
        <v>49</v>
      </c>
      <c r="AJ226" s="84"/>
      <c r="AK226" s="84"/>
      <c r="AL226" s="84"/>
      <c r="AM226" s="84"/>
      <c r="AN226" s="84"/>
      <c r="AO226" s="85"/>
      <c r="AP226" s="85"/>
      <c r="AQ226" s="86"/>
      <c r="AR226" s="82"/>
      <c r="AU226" s="46"/>
      <c r="AV226" s="46"/>
      <c r="AW226" s="46"/>
    </row>
    <row r="227" spans="2:49" ht="13.5" hidden="1" customHeight="1" x14ac:dyDescent="0.2">
      <c r="B227" s="59"/>
      <c r="C227" s="59"/>
      <c r="D227" s="198"/>
      <c r="E227" s="191"/>
      <c r="F227" s="192"/>
      <c r="G227" s="193" t="s">
        <v>50</v>
      </c>
      <c r="H227" s="194"/>
      <c r="I227" s="194"/>
      <c r="J227" s="194"/>
      <c r="K227" s="194"/>
      <c r="L227" s="194"/>
      <c r="M227" s="194"/>
      <c r="N227" s="194"/>
      <c r="O227" s="195"/>
      <c r="P227" s="196"/>
      <c r="Q227" s="196"/>
      <c r="R227" s="197"/>
      <c r="S227" s="198"/>
      <c r="T227" s="191"/>
      <c r="U227" s="192"/>
      <c r="V227" s="193" t="s">
        <v>50</v>
      </c>
      <c r="W227" s="194"/>
      <c r="X227" s="194"/>
      <c r="Y227" s="194"/>
      <c r="Z227" s="194"/>
      <c r="AA227" s="194"/>
      <c r="AB227" s="194"/>
      <c r="AC227" s="194"/>
      <c r="AD227" s="195"/>
      <c r="AE227" s="196"/>
      <c r="AF227" s="196"/>
      <c r="AG227" s="361" t="s">
        <v>68</v>
      </c>
      <c r="AH227" s="362"/>
      <c r="AI227" s="362"/>
      <c r="AJ227" s="363"/>
      <c r="AK227" s="367" t="s">
        <v>51</v>
      </c>
      <c r="AL227" s="368"/>
      <c r="AM227" s="368"/>
      <c r="AN227" s="368"/>
      <c r="AO227" s="368"/>
      <c r="AP227" s="368"/>
      <c r="AQ227" s="369"/>
      <c r="AU227" s="46"/>
      <c r="AV227" s="46"/>
      <c r="AW227" s="46"/>
    </row>
    <row r="228" spans="2:49" ht="13.5" hidden="1" customHeight="1" thickBot="1" x14ac:dyDescent="0.25">
      <c r="B228" s="59"/>
      <c r="C228" s="59"/>
      <c r="D228" s="198"/>
      <c r="E228" s="191"/>
      <c r="F228" s="192"/>
      <c r="G228" s="199">
        <v>2</v>
      </c>
      <c r="H228" s="191"/>
      <c r="I228" s="191"/>
      <c r="J228" s="191"/>
      <c r="K228" s="191"/>
      <c r="L228" s="191"/>
      <c r="M228" s="191"/>
      <c r="N228" s="191"/>
      <c r="O228" s="192"/>
      <c r="P228" s="196"/>
      <c r="Q228" s="196"/>
      <c r="R228" s="197"/>
      <c r="S228" s="198"/>
      <c r="T228" s="191"/>
      <c r="U228" s="192"/>
      <c r="V228" s="199">
        <v>2</v>
      </c>
      <c r="W228" s="191"/>
      <c r="X228" s="191"/>
      <c r="Y228" s="191"/>
      <c r="Z228" s="191"/>
      <c r="AA228" s="191"/>
      <c r="AB228" s="191"/>
      <c r="AC228" s="191"/>
      <c r="AD228" s="192"/>
      <c r="AE228" s="196"/>
      <c r="AF228" s="196"/>
      <c r="AG228" s="364"/>
      <c r="AH228" s="365"/>
      <c r="AI228" s="365"/>
      <c r="AJ228" s="366"/>
      <c r="AK228" s="370"/>
      <c r="AL228" s="371"/>
      <c r="AM228" s="371"/>
      <c r="AN228" s="371"/>
      <c r="AO228" s="371"/>
      <c r="AP228" s="371"/>
      <c r="AQ228" s="372"/>
      <c r="AU228" s="46"/>
      <c r="AV228" s="46"/>
      <c r="AW228" s="46"/>
    </row>
    <row r="229" spans="2:49" ht="13.5" hidden="1" customHeight="1" x14ac:dyDescent="0.2">
      <c r="B229" s="59"/>
      <c r="C229" s="59"/>
      <c r="D229" s="198"/>
      <c r="E229" s="191"/>
      <c r="F229" s="192"/>
      <c r="G229" s="199">
        <v>3</v>
      </c>
      <c r="H229" s="191"/>
      <c r="I229" s="191"/>
      <c r="J229" s="191"/>
      <c r="K229" s="191"/>
      <c r="L229" s="191"/>
      <c r="M229" s="191"/>
      <c r="N229" s="191"/>
      <c r="O229" s="192"/>
      <c r="P229" s="196"/>
      <c r="Q229" s="196"/>
      <c r="R229" s="197"/>
      <c r="S229" s="198"/>
      <c r="T229" s="191"/>
      <c r="U229" s="192"/>
      <c r="V229" s="199">
        <v>3</v>
      </c>
      <c r="W229" s="191"/>
      <c r="X229" s="191"/>
      <c r="Y229" s="191"/>
      <c r="Z229" s="191"/>
      <c r="AA229" s="191"/>
      <c r="AB229" s="191"/>
      <c r="AC229" s="191"/>
      <c r="AD229" s="192"/>
      <c r="AE229" s="196"/>
      <c r="AF229" s="196"/>
      <c r="AG229" s="361" t="s">
        <v>2</v>
      </c>
      <c r="AH229" s="362"/>
      <c r="AI229" s="362"/>
      <c r="AJ229" s="363"/>
      <c r="AK229" s="367" t="s">
        <v>51</v>
      </c>
      <c r="AL229" s="368"/>
      <c r="AM229" s="368"/>
      <c r="AN229" s="368"/>
      <c r="AO229" s="368"/>
      <c r="AP229" s="368"/>
      <c r="AQ229" s="369"/>
      <c r="AU229" s="46"/>
      <c r="AV229" s="46"/>
      <c r="AW229" s="46"/>
    </row>
    <row r="230" spans="2:49" ht="13.5" hidden="1" customHeight="1" thickBot="1" x14ac:dyDescent="0.25">
      <c r="B230" s="59"/>
      <c r="C230" s="59"/>
      <c r="D230" s="198"/>
      <c r="E230" s="191"/>
      <c r="F230" s="192"/>
      <c r="G230" s="199">
        <v>4</v>
      </c>
      <c r="H230" s="191"/>
      <c r="I230" s="191"/>
      <c r="J230" s="191"/>
      <c r="K230" s="191"/>
      <c r="L230" s="191"/>
      <c r="M230" s="191"/>
      <c r="N230" s="191"/>
      <c r="O230" s="192"/>
      <c r="P230" s="196"/>
      <c r="Q230" s="196"/>
      <c r="R230" s="197"/>
      <c r="S230" s="198"/>
      <c r="T230" s="191"/>
      <c r="U230" s="192"/>
      <c r="V230" s="199">
        <v>4</v>
      </c>
      <c r="W230" s="191"/>
      <c r="X230" s="191"/>
      <c r="Y230" s="191"/>
      <c r="Z230" s="191"/>
      <c r="AA230" s="191"/>
      <c r="AB230" s="191"/>
      <c r="AC230" s="191"/>
      <c r="AD230" s="192"/>
      <c r="AE230" s="196"/>
      <c r="AF230" s="196"/>
      <c r="AG230" s="364"/>
      <c r="AH230" s="365"/>
      <c r="AI230" s="365"/>
      <c r="AJ230" s="366"/>
      <c r="AK230" s="370"/>
      <c r="AL230" s="371"/>
      <c r="AM230" s="371"/>
      <c r="AN230" s="371"/>
      <c r="AO230" s="371"/>
      <c r="AP230" s="371"/>
      <c r="AQ230" s="372"/>
      <c r="AU230" s="46"/>
      <c r="AV230" s="46"/>
      <c r="AW230" s="46"/>
    </row>
    <row r="231" spans="2:49" ht="13.5" hidden="1" customHeight="1" x14ac:dyDescent="0.2">
      <c r="B231" s="59"/>
      <c r="C231" s="59"/>
      <c r="D231" s="198"/>
      <c r="E231" s="191"/>
      <c r="F231" s="192"/>
      <c r="G231" s="199">
        <v>5</v>
      </c>
      <c r="H231" s="191"/>
      <c r="I231" s="191"/>
      <c r="J231" s="191"/>
      <c r="K231" s="191"/>
      <c r="L231" s="191"/>
      <c r="M231" s="191"/>
      <c r="N231" s="191"/>
      <c r="O231" s="192"/>
      <c r="P231" s="196"/>
      <c r="Q231" s="196"/>
      <c r="R231" s="197"/>
      <c r="S231" s="198"/>
      <c r="T231" s="191"/>
      <c r="U231" s="192"/>
      <c r="V231" s="199">
        <v>5</v>
      </c>
      <c r="W231" s="191"/>
      <c r="X231" s="191"/>
      <c r="Y231" s="191"/>
      <c r="Z231" s="191"/>
      <c r="AA231" s="191"/>
      <c r="AB231" s="191"/>
      <c r="AC231" s="191"/>
      <c r="AD231" s="192"/>
      <c r="AE231" s="196"/>
      <c r="AF231" s="196"/>
      <c r="AG231" s="87" t="s">
        <v>52</v>
      </c>
      <c r="AH231" s="55"/>
      <c r="AI231" s="55"/>
      <c r="AJ231" s="55"/>
      <c r="AK231" s="55"/>
      <c r="AL231" s="55"/>
      <c r="AM231" s="55"/>
      <c r="AN231" s="55"/>
      <c r="AO231" s="55" t="s">
        <v>53</v>
      </c>
      <c r="AP231" s="55"/>
      <c r="AQ231" s="64"/>
      <c r="AU231" s="46"/>
      <c r="AV231" s="46"/>
      <c r="AW231" s="46"/>
    </row>
    <row r="232" spans="2:49" ht="13.5" hidden="1" customHeight="1" x14ac:dyDescent="0.2">
      <c r="B232" s="59"/>
      <c r="C232" s="59"/>
      <c r="D232" s="198"/>
      <c r="E232" s="191"/>
      <c r="F232" s="192"/>
      <c r="G232" s="199">
        <v>6</v>
      </c>
      <c r="H232" s="191"/>
      <c r="I232" s="191"/>
      <c r="J232" s="191"/>
      <c r="K232" s="191"/>
      <c r="L232" s="191"/>
      <c r="M232" s="191"/>
      <c r="N232" s="191"/>
      <c r="O232" s="192"/>
      <c r="P232" s="196"/>
      <c r="Q232" s="196"/>
      <c r="R232" s="197"/>
      <c r="S232" s="198"/>
      <c r="T232" s="191"/>
      <c r="U232" s="192"/>
      <c r="V232" s="199">
        <v>6</v>
      </c>
      <c r="W232" s="191"/>
      <c r="X232" s="191"/>
      <c r="Y232" s="191"/>
      <c r="Z232" s="191"/>
      <c r="AA232" s="191"/>
      <c r="AB232" s="191"/>
      <c r="AC232" s="191"/>
      <c r="AD232" s="192"/>
      <c r="AE232" s="196"/>
      <c r="AF232" s="196"/>
      <c r="AG232" s="88"/>
      <c r="AH232" s="52"/>
      <c r="AI232" s="52"/>
      <c r="AJ232" s="52"/>
      <c r="AK232" s="52"/>
      <c r="AL232" s="52"/>
      <c r="AM232" s="52"/>
      <c r="AN232" s="52"/>
      <c r="AO232" s="52"/>
      <c r="AP232" s="52"/>
      <c r="AQ232" s="66"/>
      <c r="AU232" s="46"/>
      <c r="AV232" s="46"/>
      <c r="AW232" s="46"/>
    </row>
    <row r="233" spans="2:49" ht="13.5" hidden="1" customHeight="1" thickBot="1" x14ac:dyDescent="0.25">
      <c r="B233" s="59"/>
      <c r="C233" s="59"/>
      <c r="D233" s="198"/>
      <c r="E233" s="191"/>
      <c r="F233" s="192"/>
      <c r="G233" s="199">
        <v>7</v>
      </c>
      <c r="H233" s="191"/>
      <c r="I233" s="191"/>
      <c r="J233" s="191"/>
      <c r="K233" s="191"/>
      <c r="L233" s="191"/>
      <c r="M233" s="191"/>
      <c r="N233" s="191"/>
      <c r="O233" s="192"/>
      <c r="P233" s="196"/>
      <c r="Q233" s="196"/>
      <c r="R233" s="197"/>
      <c r="S233" s="198"/>
      <c r="T233" s="191"/>
      <c r="U233" s="192"/>
      <c r="V233" s="199">
        <v>7</v>
      </c>
      <c r="W233" s="191"/>
      <c r="X233" s="191"/>
      <c r="Y233" s="191"/>
      <c r="Z233" s="191"/>
      <c r="AA233" s="191"/>
      <c r="AB233" s="191"/>
      <c r="AC233" s="191"/>
      <c r="AD233" s="192"/>
      <c r="AE233" s="196"/>
      <c r="AF233" s="196"/>
      <c r="AG233" s="59" t="s">
        <v>54</v>
      </c>
      <c r="AH233" s="52"/>
      <c r="AI233" s="52"/>
      <c r="AJ233" s="52"/>
      <c r="AK233" s="52"/>
      <c r="AL233" s="52"/>
      <c r="AM233" s="52"/>
      <c r="AN233" s="52"/>
      <c r="AO233" s="52"/>
      <c r="AP233" s="52"/>
      <c r="AQ233" s="66"/>
      <c r="AU233" s="46"/>
      <c r="AV233" s="46"/>
      <c r="AW233" s="46"/>
    </row>
    <row r="234" spans="2:49" ht="13.5" hidden="1" customHeight="1" thickBot="1" x14ac:dyDescent="0.25">
      <c r="B234" s="59"/>
      <c r="C234" s="59"/>
      <c r="D234" s="204"/>
      <c r="E234" s="200"/>
      <c r="F234" s="201"/>
      <c r="G234" s="202">
        <v>8</v>
      </c>
      <c r="H234" s="200"/>
      <c r="I234" s="200"/>
      <c r="J234" s="200"/>
      <c r="K234" s="200"/>
      <c r="L234" s="200"/>
      <c r="M234" s="200"/>
      <c r="N234" s="200"/>
      <c r="O234" s="201"/>
      <c r="P234" s="203"/>
      <c r="Q234" s="203"/>
      <c r="R234" s="197"/>
      <c r="S234" s="204"/>
      <c r="T234" s="200"/>
      <c r="U234" s="201"/>
      <c r="V234" s="202">
        <v>8</v>
      </c>
      <c r="W234" s="200"/>
      <c r="X234" s="200"/>
      <c r="Y234" s="200"/>
      <c r="Z234" s="200"/>
      <c r="AA234" s="200"/>
      <c r="AB234" s="200"/>
      <c r="AC234" s="200"/>
      <c r="AD234" s="201"/>
      <c r="AE234" s="203"/>
      <c r="AF234" s="203"/>
      <c r="AG234" s="89" t="s">
        <v>55</v>
      </c>
      <c r="AH234" s="55"/>
      <c r="AI234" s="55"/>
      <c r="AJ234" s="55"/>
      <c r="AK234" s="55"/>
      <c r="AL234" s="55"/>
      <c r="AM234" s="55"/>
      <c r="AN234" s="55"/>
      <c r="AO234" s="55"/>
      <c r="AP234" s="55"/>
      <c r="AQ234" s="64"/>
      <c r="AU234" s="46"/>
      <c r="AV234" s="46"/>
      <c r="AW234" s="46"/>
    </row>
    <row r="235" spans="2:49" ht="13.5" hidden="1" customHeight="1" thickBot="1" x14ac:dyDescent="0.25">
      <c r="B235" s="59"/>
      <c r="C235" s="59"/>
      <c r="D235" s="74"/>
      <c r="E235" s="90"/>
      <c r="F235" s="90"/>
      <c r="G235" s="90"/>
      <c r="H235" s="90"/>
      <c r="I235" s="90"/>
      <c r="J235" s="91" t="s">
        <v>56</v>
      </c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  <c r="AB235" s="90"/>
      <c r="AC235" s="90"/>
      <c r="AD235" s="90"/>
      <c r="AE235" s="90"/>
      <c r="AF235" s="92"/>
      <c r="AG235" s="69" t="s">
        <v>57</v>
      </c>
      <c r="AH235" s="52"/>
      <c r="AI235" s="52"/>
      <c r="AJ235" s="52"/>
      <c r="AK235" s="52"/>
      <c r="AL235" s="52"/>
      <c r="AM235" s="52"/>
      <c r="AN235" s="52"/>
      <c r="AO235" s="52"/>
      <c r="AP235" s="52"/>
      <c r="AQ235" s="66"/>
      <c r="AU235" s="46"/>
      <c r="AV235" s="46"/>
      <c r="AW235" s="46"/>
    </row>
    <row r="236" spans="2:49" ht="13.5" hidden="1" customHeight="1" thickBot="1" x14ac:dyDescent="0.25">
      <c r="B236" s="59"/>
      <c r="C236" s="59"/>
      <c r="D236" s="93" t="s">
        <v>58</v>
      </c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2"/>
      <c r="S236" s="93" t="s">
        <v>59</v>
      </c>
      <c r="T236" s="90"/>
      <c r="U236" s="90"/>
      <c r="V236" s="90"/>
      <c r="W236" s="90"/>
      <c r="X236" s="90"/>
      <c r="Y236" s="90"/>
      <c r="Z236" s="90"/>
      <c r="AA236" s="90"/>
      <c r="AB236" s="90"/>
      <c r="AC236" s="90"/>
      <c r="AD236" s="90"/>
      <c r="AE236" s="90"/>
      <c r="AF236" s="92"/>
      <c r="AG236" s="94" t="s">
        <v>60</v>
      </c>
      <c r="AH236" s="95"/>
      <c r="AI236" s="95"/>
      <c r="AJ236" s="95"/>
      <c r="AK236" s="95"/>
      <c r="AL236" s="72"/>
      <c r="AM236" s="96" t="s">
        <v>61</v>
      </c>
      <c r="AN236" s="95"/>
      <c r="AO236" s="95"/>
      <c r="AP236" s="95"/>
      <c r="AQ236" s="72"/>
      <c r="AU236" s="46"/>
      <c r="AV236" s="46"/>
      <c r="AW236" s="46"/>
    </row>
    <row r="237" spans="2:49" ht="17.25" hidden="1" customHeight="1" thickBot="1" x14ac:dyDescent="0.25">
      <c r="B237" s="57"/>
      <c r="C237" s="57"/>
      <c r="D237" s="93" t="s">
        <v>62</v>
      </c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2"/>
      <c r="S237" s="93" t="s">
        <v>6</v>
      </c>
      <c r="T237" s="90"/>
      <c r="U237" s="90"/>
      <c r="V237" s="90"/>
      <c r="W237" s="90"/>
      <c r="X237" s="90"/>
      <c r="Y237" s="90"/>
      <c r="Z237" s="90"/>
      <c r="AA237" s="90"/>
      <c r="AB237" s="90"/>
      <c r="AC237" s="90"/>
      <c r="AD237" s="90"/>
      <c r="AE237" s="90"/>
      <c r="AF237" s="92"/>
      <c r="AG237" s="97" t="s">
        <v>63</v>
      </c>
      <c r="AH237" s="58"/>
      <c r="AI237" s="58"/>
      <c r="AJ237" s="58"/>
      <c r="AK237" s="58"/>
      <c r="AL237" s="72"/>
      <c r="AM237" s="98" t="s">
        <v>64</v>
      </c>
      <c r="AN237" s="58"/>
      <c r="AO237" s="58"/>
      <c r="AP237" s="58"/>
      <c r="AQ237" s="72"/>
      <c r="AU237" s="46"/>
      <c r="AV237" s="46"/>
      <c r="AW237" s="46"/>
    </row>
    <row r="238" spans="2:49" ht="17.25" hidden="1" customHeight="1" x14ac:dyDescent="0.2">
      <c r="B238" s="52"/>
      <c r="C238" s="52"/>
      <c r="D238" s="99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99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100"/>
      <c r="AH238" s="52"/>
      <c r="AI238" s="52"/>
      <c r="AJ238" s="52"/>
      <c r="AK238" s="52"/>
      <c r="AL238" s="52"/>
      <c r="AM238" s="101"/>
      <c r="AN238" s="52"/>
      <c r="AO238" s="52"/>
      <c r="AP238" s="52"/>
      <c r="AQ238" s="52"/>
      <c r="AU238" s="46"/>
      <c r="AV238" s="46"/>
      <c r="AW238" s="46"/>
    </row>
    <row r="239" spans="2:49" ht="15.95" hidden="1" customHeight="1" thickBot="1" x14ac:dyDescent="0.25">
      <c r="AU239" s="46"/>
      <c r="AV239" s="46"/>
      <c r="AW239" s="46"/>
    </row>
    <row r="240" spans="2:49" ht="17.25" hidden="1" customHeight="1" x14ac:dyDescent="0.25">
      <c r="B240" s="53"/>
      <c r="C240" s="53"/>
      <c r="D240" s="54" t="s">
        <v>29</v>
      </c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6" t="s">
        <v>73</v>
      </c>
      <c r="Z240" s="55"/>
      <c r="AA240" s="55"/>
      <c r="AB240" s="55"/>
      <c r="AC240" s="55"/>
      <c r="AD240" s="55"/>
      <c r="AE240" s="55"/>
      <c r="AF240" s="55"/>
      <c r="AG240" s="55"/>
      <c r="AH240" s="433" t="s">
        <v>30</v>
      </c>
      <c r="AI240" s="434"/>
      <c r="AJ240" s="434"/>
      <c r="AK240" s="434"/>
      <c r="AL240" s="434"/>
      <c r="AM240" s="435" t="str">
        <f>IF(($AU$9+7)&gt;$AX$9,"",VLOOKUP($AU$9+7,Spielplan,3,0))</f>
        <v/>
      </c>
      <c r="AN240" s="435"/>
      <c r="AO240" s="435"/>
      <c r="AP240" s="435"/>
      <c r="AQ240" s="436"/>
      <c r="AU240" s="46"/>
      <c r="AV240" s="46"/>
      <c r="AW240" s="46"/>
    </row>
    <row r="241" spans="2:49" ht="0.75" hidden="1" customHeight="1" thickBot="1" x14ac:dyDescent="0.25">
      <c r="B241" s="57"/>
      <c r="C241" s="57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9"/>
      <c r="AI241" s="52"/>
      <c r="AJ241" s="52"/>
      <c r="AK241" s="52"/>
      <c r="AL241" s="52"/>
      <c r="AM241" s="60"/>
      <c r="AN241" s="60"/>
      <c r="AO241" s="60"/>
      <c r="AP241" s="60"/>
      <c r="AQ241" s="61"/>
      <c r="AU241" s="46"/>
      <c r="AV241" s="46"/>
      <c r="AW241" s="46"/>
    </row>
    <row r="242" spans="2:49" ht="15" hidden="1" x14ac:dyDescent="0.25">
      <c r="B242" s="53"/>
      <c r="C242" s="62"/>
      <c r="D242" s="53"/>
      <c r="E242" s="63" t="s">
        <v>6</v>
      </c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64"/>
      <c r="S242" s="437" t="s">
        <v>31</v>
      </c>
      <c r="T242" s="438"/>
      <c r="U242" s="438"/>
      <c r="V242" s="438"/>
      <c r="W242" s="438"/>
      <c r="X242" s="438"/>
      <c r="Y242" s="362" t="str">
        <f>IF(($AU$9+7)&gt;$AX$9,"","SHTV")</f>
        <v/>
      </c>
      <c r="Z242" s="362"/>
      <c r="AA242" s="362"/>
      <c r="AB242" s="362"/>
      <c r="AC242" s="362"/>
      <c r="AD242" s="362"/>
      <c r="AE242" s="362"/>
      <c r="AF242" s="362"/>
      <c r="AG242" s="362"/>
      <c r="AH242" s="416" t="s">
        <v>32</v>
      </c>
      <c r="AI242" s="417"/>
      <c r="AJ242" s="417"/>
      <c r="AK242" s="417"/>
      <c r="AL242" s="417"/>
      <c r="AM242" s="420" t="str">
        <f>IF(($AU$9+7)&gt;$AX$9,"",VLOOKUP($AU$9+7,Spielplan,4,0))</f>
        <v/>
      </c>
      <c r="AN242" s="421"/>
      <c r="AO242" s="421"/>
      <c r="AP242" s="421"/>
      <c r="AQ242" s="422"/>
      <c r="AU242" s="46"/>
      <c r="AV242" s="46"/>
      <c r="AW242" s="46"/>
    </row>
    <row r="243" spans="2:49" ht="9.9499999999999993" hidden="1" customHeight="1" x14ac:dyDescent="0.2">
      <c r="B243" s="59"/>
      <c r="C243" s="65"/>
      <c r="D243" s="59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66"/>
      <c r="S243" s="400"/>
      <c r="T243" s="399"/>
      <c r="U243" s="399"/>
      <c r="V243" s="399"/>
      <c r="W243" s="399"/>
      <c r="X243" s="399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18"/>
      <c r="AI243" s="419"/>
      <c r="AJ243" s="419"/>
      <c r="AK243" s="419"/>
      <c r="AL243" s="419"/>
      <c r="AM243" s="423"/>
      <c r="AN243" s="423"/>
      <c r="AO243" s="423"/>
      <c r="AP243" s="423"/>
      <c r="AQ243" s="424"/>
      <c r="AU243" s="46"/>
      <c r="AV243" s="46"/>
      <c r="AW243" s="46"/>
    </row>
    <row r="244" spans="2:49" ht="13.15" hidden="1" customHeight="1" x14ac:dyDescent="0.2">
      <c r="B244" s="59"/>
      <c r="C244" s="65"/>
      <c r="D244" s="59"/>
      <c r="E244" s="52" t="s">
        <v>33</v>
      </c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66"/>
      <c r="S244" s="398" t="s">
        <v>34</v>
      </c>
      <c r="T244" s="399"/>
      <c r="U244" s="399"/>
      <c r="V244" s="399"/>
      <c r="W244" s="399"/>
      <c r="X244" s="399"/>
      <c r="Y244" s="402" t="str">
        <f>IF(($AU$9+7)&gt;$AX$9,"",Platzierung!$U$3)</f>
        <v/>
      </c>
      <c r="Z244" s="402"/>
      <c r="AA244" s="402"/>
      <c r="AB244" s="402"/>
      <c r="AC244" s="402"/>
      <c r="AD244" s="402"/>
      <c r="AE244" s="402"/>
      <c r="AF244" s="402"/>
      <c r="AG244" s="402"/>
      <c r="AH244" s="416" t="s">
        <v>35</v>
      </c>
      <c r="AI244" s="417"/>
      <c r="AJ244" s="417"/>
      <c r="AK244" s="417"/>
      <c r="AL244" s="417"/>
      <c r="AM244" s="420" t="str">
        <f>IF(($AU$9+7)&gt;$AX$9,"",VLOOKUP($AU$9+7,Spielplan,6,0))</f>
        <v/>
      </c>
      <c r="AN244" s="421"/>
      <c r="AO244" s="421"/>
      <c r="AP244" s="421"/>
      <c r="AQ244" s="422"/>
      <c r="AU244" s="46"/>
      <c r="AV244" s="46"/>
      <c r="AW244" s="46"/>
    </row>
    <row r="245" spans="2:49" ht="9.9499999999999993" hidden="1" customHeight="1" x14ac:dyDescent="0.2">
      <c r="B245" s="59"/>
      <c r="C245" s="65"/>
      <c r="D245" s="59"/>
      <c r="E245" s="52"/>
      <c r="F245" s="52"/>
      <c r="G245" s="52"/>
      <c r="H245" s="52"/>
      <c r="I245" s="52"/>
      <c r="J245" s="67" t="s">
        <v>36</v>
      </c>
      <c r="K245" s="52"/>
      <c r="L245" s="52"/>
      <c r="M245" s="52"/>
      <c r="N245" s="52"/>
      <c r="O245" s="52"/>
      <c r="P245" s="52"/>
      <c r="Q245" s="52"/>
      <c r="R245" s="66"/>
      <c r="S245" s="400"/>
      <c r="T245" s="399"/>
      <c r="U245" s="399"/>
      <c r="V245" s="399"/>
      <c r="W245" s="399"/>
      <c r="X245" s="399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18"/>
      <c r="AI245" s="419"/>
      <c r="AJ245" s="419"/>
      <c r="AK245" s="419"/>
      <c r="AL245" s="419"/>
      <c r="AM245" s="423"/>
      <c r="AN245" s="423"/>
      <c r="AO245" s="423"/>
      <c r="AP245" s="423"/>
      <c r="AQ245" s="424"/>
      <c r="AU245" s="46"/>
      <c r="AV245" s="46"/>
      <c r="AW245" s="46"/>
    </row>
    <row r="246" spans="2:49" ht="15.75" hidden="1" customHeight="1" x14ac:dyDescent="0.2">
      <c r="B246" s="59"/>
      <c r="C246" s="65"/>
      <c r="D246" s="394" t="str">
        <f>IF(($AU$9+7)&gt;$AX$9,"",VLOOKUP($AU$9+7,Spielplan,10,0))</f>
        <v/>
      </c>
      <c r="E246" s="395"/>
      <c r="F246" s="395"/>
      <c r="G246" s="395"/>
      <c r="H246" s="395"/>
      <c r="I246" s="395"/>
      <c r="J246" s="395"/>
      <c r="K246" s="395"/>
      <c r="L246" s="395"/>
      <c r="M246" s="395"/>
      <c r="N246" s="395"/>
      <c r="O246" s="395"/>
      <c r="P246" s="395"/>
      <c r="Q246" s="395"/>
      <c r="R246" s="396"/>
      <c r="S246" s="398" t="s">
        <v>37</v>
      </c>
      <c r="T246" s="399"/>
      <c r="U246" s="399"/>
      <c r="V246" s="399"/>
      <c r="W246" s="399"/>
      <c r="X246" s="399"/>
      <c r="Y246" s="401" t="str">
        <f>IF(($AU$9+7)&gt;$AX$9,"",VLOOKUP($AU$9+7,Spielplan,2,0))</f>
        <v/>
      </c>
      <c r="Z246" s="402"/>
      <c r="AA246" s="402"/>
      <c r="AB246" s="402"/>
      <c r="AC246" s="402"/>
      <c r="AD246" s="402"/>
      <c r="AE246" s="402"/>
      <c r="AF246" s="402"/>
      <c r="AG246" s="402"/>
      <c r="AH246" s="403" t="s">
        <v>38</v>
      </c>
      <c r="AI246" s="399"/>
      <c r="AJ246" s="399"/>
      <c r="AK246" s="399"/>
      <c r="AL246" s="399"/>
      <c r="AM246" s="425" t="str">
        <f>IF(($AU$9+7)&gt;$AX$9,"",VLOOKUP($AU$9+7,Spielplan,5,0))</f>
        <v/>
      </c>
      <c r="AN246" s="426"/>
      <c r="AO246" s="426"/>
      <c r="AP246" s="426"/>
      <c r="AQ246" s="427"/>
      <c r="AU246" s="46"/>
      <c r="AV246" s="46"/>
      <c r="AW246" s="46"/>
    </row>
    <row r="247" spans="2:49" ht="11.1" hidden="1" customHeight="1" thickBot="1" x14ac:dyDescent="0.25">
      <c r="B247" s="59"/>
      <c r="C247" s="65"/>
      <c r="D247" s="397"/>
      <c r="E247" s="395"/>
      <c r="F247" s="395"/>
      <c r="G247" s="395"/>
      <c r="H247" s="395"/>
      <c r="I247" s="395"/>
      <c r="J247" s="395"/>
      <c r="K247" s="395"/>
      <c r="L247" s="395"/>
      <c r="M247" s="395"/>
      <c r="N247" s="395"/>
      <c r="O247" s="395"/>
      <c r="P247" s="395"/>
      <c r="Q247" s="395"/>
      <c r="R247" s="396"/>
      <c r="S247" s="400"/>
      <c r="T247" s="399"/>
      <c r="U247" s="399"/>
      <c r="V247" s="399"/>
      <c r="W247" s="399"/>
      <c r="X247" s="399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4"/>
      <c r="AI247" s="405"/>
      <c r="AJ247" s="405"/>
      <c r="AK247" s="405"/>
      <c r="AL247" s="405"/>
      <c r="AM247" s="428"/>
      <c r="AN247" s="428"/>
      <c r="AO247" s="428"/>
      <c r="AP247" s="428"/>
      <c r="AQ247" s="429"/>
      <c r="AU247" s="46"/>
      <c r="AV247" s="46"/>
      <c r="AW247" s="46"/>
    </row>
    <row r="248" spans="2:49" ht="11.1" hidden="1" customHeight="1" thickBot="1" x14ac:dyDescent="0.25">
      <c r="B248" s="59"/>
      <c r="C248" s="65"/>
      <c r="D248" s="57"/>
      <c r="E248" s="58"/>
      <c r="F248" s="58"/>
      <c r="G248" s="58"/>
      <c r="H248" s="58"/>
      <c r="I248" s="58"/>
      <c r="J248" s="58" t="s">
        <v>39</v>
      </c>
      <c r="K248" s="58"/>
      <c r="L248" s="58"/>
      <c r="M248" s="58"/>
      <c r="N248" s="58"/>
      <c r="O248" s="52"/>
      <c r="P248" s="52"/>
      <c r="Q248" s="58"/>
      <c r="R248" s="68"/>
      <c r="S248" s="59"/>
      <c r="T248" s="52"/>
      <c r="U248" s="52"/>
      <c r="V248" s="52"/>
      <c r="W248" s="52"/>
      <c r="X248" s="52"/>
      <c r="Y248" s="430"/>
      <c r="Z248" s="430"/>
      <c r="AA248" s="430"/>
      <c r="AB248" s="430"/>
      <c r="AC248" s="430"/>
      <c r="AD248" s="430"/>
      <c r="AE248" s="430"/>
      <c r="AF248" s="431"/>
      <c r="AG248" s="432"/>
      <c r="AH248" s="69" t="s">
        <v>40</v>
      </c>
      <c r="AI248" s="52"/>
      <c r="AJ248" s="52"/>
      <c r="AK248" s="52"/>
      <c r="AL248" s="52"/>
      <c r="AM248" s="52"/>
      <c r="AN248" s="52"/>
      <c r="AO248" s="70"/>
      <c r="AP248" s="52"/>
      <c r="AQ248" s="66"/>
      <c r="AU248" s="46"/>
      <c r="AV248" s="46"/>
      <c r="AW248" s="46"/>
    </row>
    <row r="249" spans="2:49" ht="13.5" hidden="1" customHeight="1" thickBot="1" x14ac:dyDescent="0.3">
      <c r="B249" s="59"/>
      <c r="C249" s="65"/>
      <c r="D249" s="53"/>
      <c r="E249" s="63" t="s">
        <v>8</v>
      </c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388" t="s">
        <v>41</v>
      </c>
      <c r="R249" s="53"/>
      <c r="S249" s="53"/>
      <c r="T249" s="63" t="s">
        <v>7</v>
      </c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64"/>
      <c r="AF249" s="391" t="s">
        <v>41</v>
      </c>
      <c r="AG249" s="59"/>
      <c r="AH249" s="71" t="s">
        <v>42</v>
      </c>
      <c r="AI249" s="58"/>
      <c r="AJ249" s="58"/>
      <c r="AK249" s="58"/>
      <c r="AL249" s="58"/>
      <c r="AM249" s="58"/>
      <c r="AN249" s="58"/>
      <c r="AO249" s="72"/>
      <c r="AP249" s="52"/>
      <c r="AQ249" s="66"/>
      <c r="AU249" s="46"/>
      <c r="AV249" s="46"/>
      <c r="AW249" s="46"/>
    </row>
    <row r="250" spans="2:49" ht="12" hidden="1" customHeight="1" thickBot="1" x14ac:dyDescent="0.25">
      <c r="B250" s="59"/>
      <c r="C250" s="65"/>
      <c r="D250" s="394" t="str">
        <f>IF(($AU$9+7)&gt;$AX$9,"",VLOOKUP($AU$9+7,Spielplan,7,0))</f>
        <v/>
      </c>
      <c r="E250" s="395"/>
      <c r="F250" s="395"/>
      <c r="G250" s="395"/>
      <c r="H250" s="395"/>
      <c r="I250" s="395"/>
      <c r="J250" s="395"/>
      <c r="K250" s="395"/>
      <c r="L250" s="395"/>
      <c r="M250" s="395"/>
      <c r="N250" s="395"/>
      <c r="O250" s="395"/>
      <c r="P250" s="396"/>
      <c r="Q250" s="389"/>
      <c r="R250" s="59"/>
      <c r="S250" s="394" t="str">
        <f>IF(($AU$9+7)&gt;$AX$9,"",VLOOKUP($AU$9+7,Spielplan,9,0))</f>
        <v/>
      </c>
      <c r="T250" s="395"/>
      <c r="U250" s="395"/>
      <c r="V250" s="395"/>
      <c r="W250" s="395"/>
      <c r="X250" s="395"/>
      <c r="Y250" s="395"/>
      <c r="Z250" s="395"/>
      <c r="AA250" s="395"/>
      <c r="AB250" s="395"/>
      <c r="AC250" s="395"/>
      <c r="AD250" s="395"/>
      <c r="AE250" s="409"/>
      <c r="AF250" s="392"/>
      <c r="AG250" s="59"/>
      <c r="AH250" s="410" t="s">
        <v>43</v>
      </c>
      <c r="AI250" s="411"/>
      <c r="AJ250" s="411"/>
      <c r="AK250" s="411"/>
      <c r="AL250" s="411"/>
      <c r="AM250" s="412"/>
      <c r="AN250" s="73" t="s">
        <v>44</v>
      </c>
      <c r="AO250" s="74"/>
      <c r="AP250" s="74"/>
      <c r="AQ250" s="72"/>
      <c r="AU250" s="46"/>
      <c r="AV250" s="46"/>
      <c r="AW250" s="46"/>
    </row>
    <row r="251" spans="2:49" ht="12" hidden="1" customHeight="1" thickBot="1" x14ac:dyDescent="0.25">
      <c r="B251" s="57"/>
      <c r="C251" s="70"/>
      <c r="D251" s="406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407"/>
      <c r="P251" s="408"/>
      <c r="Q251" s="390"/>
      <c r="R251" s="57"/>
      <c r="S251" s="406"/>
      <c r="T251" s="407"/>
      <c r="U251" s="407"/>
      <c r="V251" s="407"/>
      <c r="W251" s="407"/>
      <c r="X251" s="407"/>
      <c r="Y251" s="407"/>
      <c r="Z251" s="407"/>
      <c r="AA251" s="407"/>
      <c r="AB251" s="407"/>
      <c r="AC251" s="407"/>
      <c r="AD251" s="407"/>
      <c r="AE251" s="385"/>
      <c r="AF251" s="393"/>
      <c r="AG251" s="57"/>
      <c r="AH251" s="413"/>
      <c r="AI251" s="414"/>
      <c r="AJ251" s="414"/>
      <c r="AK251" s="414"/>
      <c r="AL251" s="414"/>
      <c r="AM251" s="415"/>
      <c r="AN251" s="73" t="s">
        <v>45</v>
      </c>
      <c r="AO251" s="74"/>
      <c r="AP251" s="74"/>
      <c r="AQ251" s="72"/>
      <c r="AU251" s="46"/>
      <c r="AV251" s="46"/>
      <c r="AW251" s="46"/>
    </row>
    <row r="252" spans="2:49" ht="9.9499999999999993" hidden="1" customHeight="1" thickBot="1" x14ac:dyDescent="0.25">
      <c r="B252" s="59"/>
      <c r="C252" s="59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66"/>
      <c r="AU252" s="46"/>
      <c r="AV252" s="46"/>
      <c r="AW252" s="46"/>
    </row>
    <row r="253" spans="2:49" hidden="1" x14ac:dyDescent="0.2">
      <c r="B253" s="53"/>
      <c r="C253" s="62" t="s">
        <v>44</v>
      </c>
      <c r="D253" s="75"/>
      <c r="E253" s="76"/>
      <c r="F253" s="76"/>
      <c r="G253" s="76"/>
      <c r="H253" s="77"/>
      <c r="I253" s="75"/>
      <c r="J253" s="76"/>
      <c r="K253" s="76"/>
      <c r="L253" s="76"/>
      <c r="M253" s="77"/>
      <c r="N253" s="75"/>
      <c r="O253" s="76"/>
      <c r="P253" s="76"/>
      <c r="Q253" s="76"/>
      <c r="R253" s="77"/>
      <c r="S253" s="75"/>
      <c r="T253" s="76"/>
      <c r="U253" s="76"/>
      <c r="V253" s="76"/>
      <c r="W253" s="77"/>
      <c r="X253" s="75"/>
      <c r="Y253" s="76"/>
      <c r="Z253" s="76"/>
      <c r="AA253" s="76"/>
      <c r="AB253" s="77"/>
      <c r="AC253" s="75"/>
      <c r="AD253" s="76"/>
      <c r="AE253" s="76"/>
      <c r="AF253" s="76"/>
      <c r="AG253" s="77"/>
      <c r="AH253" s="75"/>
      <c r="AI253" s="76"/>
      <c r="AJ253" s="76"/>
      <c r="AK253" s="76"/>
      <c r="AL253" s="76"/>
      <c r="AM253" s="188" t="s">
        <v>44</v>
      </c>
      <c r="AN253" s="386"/>
      <c r="AO253" s="386"/>
      <c r="AP253" s="386"/>
      <c r="AQ253" s="387"/>
      <c r="AU253" s="46"/>
      <c r="AV253" s="46"/>
      <c r="AW253" s="46"/>
    </row>
    <row r="254" spans="2:49" ht="13.5" hidden="1" thickBot="1" x14ac:dyDescent="0.25">
      <c r="B254" s="57"/>
      <c r="C254" s="70" t="s">
        <v>45</v>
      </c>
      <c r="D254" s="57"/>
      <c r="E254" s="78"/>
      <c r="F254" s="78"/>
      <c r="G254" s="78"/>
      <c r="H254" s="79"/>
      <c r="I254" s="57"/>
      <c r="J254" s="78"/>
      <c r="K254" s="78"/>
      <c r="L254" s="78"/>
      <c r="M254" s="79"/>
      <c r="N254" s="57"/>
      <c r="O254" s="78"/>
      <c r="P254" s="78"/>
      <c r="Q254" s="78"/>
      <c r="R254" s="79"/>
      <c r="S254" s="57"/>
      <c r="T254" s="78"/>
      <c r="U254" s="78"/>
      <c r="V254" s="78"/>
      <c r="W254" s="79"/>
      <c r="X254" s="57"/>
      <c r="Y254" s="78"/>
      <c r="Z254" s="78"/>
      <c r="AA254" s="78"/>
      <c r="AB254" s="79"/>
      <c r="AC254" s="57"/>
      <c r="AD254" s="78"/>
      <c r="AE254" s="78"/>
      <c r="AF254" s="78"/>
      <c r="AG254" s="79"/>
      <c r="AH254" s="57"/>
      <c r="AI254" s="78"/>
      <c r="AJ254" s="78"/>
      <c r="AK254" s="78"/>
      <c r="AL254" s="78"/>
      <c r="AM254" s="190" t="s">
        <v>45</v>
      </c>
      <c r="AN254" s="323"/>
      <c r="AO254" s="323"/>
      <c r="AP254" s="323"/>
      <c r="AQ254" s="324"/>
      <c r="AU254" s="46"/>
      <c r="AV254" s="46"/>
      <c r="AW254" s="46"/>
    </row>
    <row r="255" spans="2:49" hidden="1" x14ac:dyDescent="0.2">
      <c r="B255" s="53"/>
      <c r="C255" s="62" t="s">
        <v>44</v>
      </c>
      <c r="D255" s="75"/>
      <c r="E255" s="76"/>
      <c r="F255" s="76"/>
      <c r="G255" s="76"/>
      <c r="H255" s="77"/>
      <c r="I255" s="75"/>
      <c r="J255" s="76"/>
      <c r="K255" s="76"/>
      <c r="L255" s="76"/>
      <c r="M255" s="77"/>
      <c r="N255" s="75"/>
      <c r="O255" s="76"/>
      <c r="P255" s="76"/>
      <c r="Q255" s="76"/>
      <c r="R255" s="77"/>
      <c r="S255" s="75"/>
      <c r="T255" s="76"/>
      <c r="U255" s="76"/>
      <c r="V255" s="76"/>
      <c r="W255" s="77"/>
      <c r="X255" s="75"/>
      <c r="Y255" s="76"/>
      <c r="Z255" s="76"/>
      <c r="AA255" s="76"/>
      <c r="AB255" s="77"/>
      <c r="AC255" s="75"/>
      <c r="AD255" s="76"/>
      <c r="AE255" s="76"/>
      <c r="AF255" s="76"/>
      <c r="AG255" s="77"/>
      <c r="AH255" s="75"/>
      <c r="AI255" s="76"/>
      <c r="AJ255" s="76"/>
      <c r="AK255" s="76"/>
      <c r="AL255" s="76"/>
      <c r="AM255" s="188" t="s">
        <v>44</v>
      </c>
      <c r="AN255" s="386"/>
      <c r="AO255" s="386"/>
      <c r="AP255" s="386"/>
      <c r="AQ255" s="387"/>
      <c r="AU255" s="46"/>
      <c r="AV255" s="46"/>
      <c r="AW255" s="46"/>
    </row>
    <row r="256" spans="2:49" ht="13.5" hidden="1" thickBot="1" x14ac:dyDescent="0.25">
      <c r="B256" s="57"/>
      <c r="C256" s="70" t="s">
        <v>45</v>
      </c>
      <c r="D256" s="57"/>
      <c r="E256" s="78"/>
      <c r="F256" s="78"/>
      <c r="G256" s="78"/>
      <c r="H256" s="79"/>
      <c r="I256" s="57"/>
      <c r="J256" s="78"/>
      <c r="K256" s="78"/>
      <c r="L256" s="78"/>
      <c r="M256" s="79"/>
      <c r="N256" s="57"/>
      <c r="O256" s="78"/>
      <c r="P256" s="78"/>
      <c r="Q256" s="78"/>
      <c r="R256" s="79"/>
      <c r="S256" s="57"/>
      <c r="T256" s="78"/>
      <c r="U256" s="78"/>
      <c r="V256" s="78"/>
      <c r="W256" s="79"/>
      <c r="X256" s="57"/>
      <c r="Y256" s="78"/>
      <c r="Z256" s="78"/>
      <c r="AA256" s="78"/>
      <c r="AB256" s="79"/>
      <c r="AC256" s="57"/>
      <c r="AD256" s="78"/>
      <c r="AE256" s="78"/>
      <c r="AF256" s="78"/>
      <c r="AG256" s="79"/>
      <c r="AH256" s="57"/>
      <c r="AI256" s="78"/>
      <c r="AJ256" s="78"/>
      <c r="AK256" s="78"/>
      <c r="AL256" s="78"/>
      <c r="AM256" s="189" t="s">
        <v>45</v>
      </c>
      <c r="AN256" s="338"/>
      <c r="AO256" s="338"/>
      <c r="AP256" s="338"/>
      <c r="AQ256" s="339"/>
      <c r="AU256" s="46"/>
      <c r="AV256" s="46"/>
      <c r="AW256" s="46"/>
    </row>
    <row r="257" spans="2:49" hidden="1" x14ac:dyDescent="0.2">
      <c r="B257" s="53"/>
      <c r="C257" s="62" t="s">
        <v>44</v>
      </c>
      <c r="D257" s="75"/>
      <c r="E257" s="76"/>
      <c r="F257" s="76"/>
      <c r="G257" s="76"/>
      <c r="H257" s="77"/>
      <c r="I257" s="75"/>
      <c r="J257" s="76"/>
      <c r="K257" s="76"/>
      <c r="L257" s="76"/>
      <c r="M257" s="77"/>
      <c r="N257" s="75"/>
      <c r="O257" s="76"/>
      <c r="P257" s="76"/>
      <c r="Q257" s="76"/>
      <c r="R257" s="77"/>
      <c r="S257" s="75"/>
      <c r="T257" s="76"/>
      <c r="U257" s="76"/>
      <c r="V257" s="76"/>
      <c r="W257" s="77"/>
      <c r="X257" s="75"/>
      <c r="Y257" s="76"/>
      <c r="Z257" s="76"/>
      <c r="AA257" s="76"/>
      <c r="AB257" s="77"/>
      <c r="AC257" s="75"/>
      <c r="AD257" s="76"/>
      <c r="AE257" s="76"/>
      <c r="AF257" s="76"/>
      <c r="AG257" s="77"/>
      <c r="AH257" s="75"/>
      <c r="AI257" s="76"/>
      <c r="AJ257" s="76"/>
      <c r="AK257" s="76"/>
      <c r="AL257" s="76"/>
      <c r="AM257" s="188" t="s">
        <v>44</v>
      </c>
      <c r="AN257" s="386"/>
      <c r="AO257" s="386"/>
      <c r="AP257" s="386"/>
      <c r="AQ257" s="387"/>
      <c r="AU257" s="46"/>
      <c r="AV257" s="46"/>
      <c r="AW257" s="46"/>
    </row>
    <row r="258" spans="2:49" ht="13.5" hidden="1" thickBot="1" x14ac:dyDescent="0.25">
      <c r="B258" s="57"/>
      <c r="C258" s="70" t="s">
        <v>45</v>
      </c>
      <c r="D258" s="57"/>
      <c r="E258" s="78"/>
      <c r="F258" s="78"/>
      <c r="G258" s="78"/>
      <c r="H258" s="79"/>
      <c r="I258" s="57"/>
      <c r="J258" s="78"/>
      <c r="K258" s="78"/>
      <c r="L258" s="78"/>
      <c r="M258" s="79"/>
      <c r="N258" s="57"/>
      <c r="O258" s="78"/>
      <c r="P258" s="78"/>
      <c r="Q258" s="78"/>
      <c r="R258" s="79"/>
      <c r="S258" s="57"/>
      <c r="T258" s="78"/>
      <c r="U258" s="78"/>
      <c r="V258" s="78"/>
      <c r="W258" s="79"/>
      <c r="X258" s="57"/>
      <c r="Y258" s="78"/>
      <c r="Z258" s="78"/>
      <c r="AA258" s="78"/>
      <c r="AB258" s="79"/>
      <c r="AC258" s="57"/>
      <c r="AD258" s="78"/>
      <c r="AE258" s="78"/>
      <c r="AF258" s="78"/>
      <c r="AG258" s="79"/>
      <c r="AH258" s="57"/>
      <c r="AI258" s="78"/>
      <c r="AJ258" s="78"/>
      <c r="AK258" s="78"/>
      <c r="AL258" s="78"/>
      <c r="AM258" s="189" t="s">
        <v>45</v>
      </c>
      <c r="AN258" s="338"/>
      <c r="AO258" s="338"/>
      <c r="AP258" s="338"/>
      <c r="AQ258" s="339"/>
      <c r="AU258" s="46"/>
      <c r="AV258" s="46"/>
      <c r="AW258" s="46"/>
    </row>
    <row r="259" spans="2:49" ht="9.9499999999999993" hidden="1" customHeight="1" x14ac:dyDescent="0.2">
      <c r="B259" s="59"/>
      <c r="C259" s="59"/>
      <c r="D259" s="374" t="s">
        <v>46</v>
      </c>
      <c r="E259" s="375"/>
      <c r="F259" s="376"/>
      <c r="G259" s="380" t="s">
        <v>47</v>
      </c>
      <c r="H259" s="381"/>
      <c r="I259" s="381"/>
      <c r="J259" s="381"/>
      <c r="K259" s="381"/>
      <c r="L259" s="381"/>
      <c r="M259" s="381"/>
      <c r="N259" s="381"/>
      <c r="O259" s="382"/>
      <c r="P259" s="359" t="s">
        <v>41</v>
      </c>
      <c r="Q259" s="359" t="s">
        <v>48</v>
      </c>
      <c r="R259" s="52"/>
      <c r="S259" s="374" t="s">
        <v>46</v>
      </c>
      <c r="T259" s="375"/>
      <c r="U259" s="376"/>
      <c r="V259" s="380" t="s">
        <v>47</v>
      </c>
      <c r="W259" s="381"/>
      <c r="X259" s="381"/>
      <c r="Y259" s="381"/>
      <c r="Z259" s="381"/>
      <c r="AA259" s="381"/>
      <c r="AB259" s="381"/>
      <c r="AC259" s="381"/>
      <c r="AD259" s="382"/>
      <c r="AE259" s="359" t="s">
        <v>41</v>
      </c>
      <c r="AF259" s="359" t="s">
        <v>48</v>
      </c>
      <c r="AG259" s="80"/>
      <c r="AH259" s="81"/>
      <c r="AI259" s="81"/>
      <c r="AJ259" s="81"/>
      <c r="AK259" s="81"/>
      <c r="AL259" s="81"/>
      <c r="AM259" s="99"/>
      <c r="AN259" s="373" t="s">
        <v>1</v>
      </c>
      <c r="AO259" s="373"/>
      <c r="AP259" s="373" t="s">
        <v>2</v>
      </c>
      <c r="AQ259" s="373"/>
      <c r="AR259" s="82"/>
      <c r="AU259" s="46"/>
      <c r="AV259" s="46"/>
      <c r="AW259" s="46"/>
    </row>
    <row r="260" spans="2:49" ht="13.5" hidden="1" thickBot="1" x14ac:dyDescent="0.25">
      <c r="B260" s="59"/>
      <c r="C260" s="59"/>
      <c r="D260" s="377"/>
      <c r="E260" s="378"/>
      <c r="F260" s="379"/>
      <c r="G260" s="383"/>
      <c r="H260" s="384"/>
      <c r="I260" s="384"/>
      <c r="J260" s="384"/>
      <c r="K260" s="384"/>
      <c r="L260" s="384"/>
      <c r="M260" s="384"/>
      <c r="N260" s="384"/>
      <c r="O260" s="385"/>
      <c r="P260" s="360"/>
      <c r="Q260" s="360"/>
      <c r="R260" s="52"/>
      <c r="S260" s="377"/>
      <c r="T260" s="378"/>
      <c r="U260" s="379"/>
      <c r="V260" s="383"/>
      <c r="W260" s="384"/>
      <c r="X260" s="384"/>
      <c r="Y260" s="384"/>
      <c r="Z260" s="384"/>
      <c r="AA260" s="384"/>
      <c r="AB260" s="384"/>
      <c r="AC260" s="384"/>
      <c r="AD260" s="385"/>
      <c r="AE260" s="360"/>
      <c r="AF260" s="360"/>
      <c r="AG260" s="83"/>
      <c r="AH260" s="52"/>
      <c r="AI260" s="84" t="s">
        <v>49</v>
      </c>
      <c r="AJ260" s="84"/>
      <c r="AK260" s="84"/>
      <c r="AL260" s="84"/>
      <c r="AM260" s="84"/>
      <c r="AN260" s="84"/>
      <c r="AO260" s="85"/>
      <c r="AP260" s="85"/>
      <c r="AQ260" s="86"/>
      <c r="AR260" s="82"/>
      <c r="AU260" s="46"/>
      <c r="AV260" s="46"/>
      <c r="AW260" s="46"/>
    </row>
    <row r="261" spans="2:49" ht="13.5" hidden="1" customHeight="1" x14ac:dyDescent="0.2">
      <c r="B261" s="59"/>
      <c r="C261" s="59"/>
      <c r="D261" s="198"/>
      <c r="E261" s="191"/>
      <c r="F261" s="192"/>
      <c r="G261" s="193" t="s">
        <v>50</v>
      </c>
      <c r="H261" s="194"/>
      <c r="I261" s="194"/>
      <c r="J261" s="194"/>
      <c r="K261" s="194"/>
      <c r="L261" s="194"/>
      <c r="M261" s="194"/>
      <c r="N261" s="194"/>
      <c r="O261" s="195"/>
      <c r="P261" s="196"/>
      <c r="Q261" s="196"/>
      <c r="R261" s="197"/>
      <c r="S261" s="198"/>
      <c r="T261" s="191"/>
      <c r="U261" s="192"/>
      <c r="V261" s="193" t="s">
        <v>50</v>
      </c>
      <c r="W261" s="194"/>
      <c r="X261" s="194"/>
      <c r="Y261" s="194"/>
      <c r="Z261" s="194"/>
      <c r="AA261" s="194"/>
      <c r="AB261" s="194"/>
      <c r="AC261" s="194"/>
      <c r="AD261" s="195"/>
      <c r="AE261" s="196"/>
      <c r="AF261" s="196"/>
      <c r="AG261" s="361" t="s">
        <v>68</v>
      </c>
      <c r="AH261" s="362"/>
      <c r="AI261" s="362"/>
      <c r="AJ261" s="363"/>
      <c r="AK261" s="367" t="s">
        <v>51</v>
      </c>
      <c r="AL261" s="368"/>
      <c r="AM261" s="368"/>
      <c r="AN261" s="368"/>
      <c r="AO261" s="368"/>
      <c r="AP261" s="368"/>
      <c r="AQ261" s="369"/>
      <c r="AU261" s="46"/>
      <c r="AV261" s="46"/>
      <c r="AW261" s="46"/>
    </row>
    <row r="262" spans="2:49" ht="13.5" hidden="1" customHeight="1" thickBot="1" x14ac:dyDescent="0.25">
      <c r="B262" s="59"/>
      <c r="C262" s="59"/>
      <c r="D262" s="198"/>
      <c r="E262" s="191"/>
      <c r="F262" s="192"/>
      <c r="G262" s="199">
        <v>2</v>
      </c>
      <c r="H262" s="191"/>
      <c r="I262" s="191"/>
      <c r="J262" s="191"/>
      <c r="K262" s="191"/>
      <c r="L262" s="191"/>
      <c r="M262" s="191"/>
      <c r="N262" s="191"/>
      <c r="O262" s="192"/>
      <c r="P262" s="196"/>
      <c r="Q262" s="196"/>
      <c r="R262" s="197"/>
      <c r="S262" s="198"/>
      <c r="T262" s="191"/>
      <c r="U262" s="192"/>
      <c r="V262" s="199">
        <v>2</v>
      </c>
      <c r="W262" s="191"/>
      <c r="X262" s="191"/>
      <c r="Y262" s="191"/>
      <c r="Z262" s="191"/>
      <c r="AA262" s="191"/>
      <c r="AB262" s="191"/>
      <c r="AC262" s="191"/>
      <c r="AD262" s="192"/>
      <c r="AE262" s="196"/>
      <c r="AF262" s="196"/>
      <c r="AG262" s="364"/>
      <c r="AH262" s="365"/>
      <c r="AI262" s="365"/>
      <c r="AJ262" s="366"/>
      <c r="AK262" s="370"/>
      <c r="AL262" s="371"/>
      <c r="AM262" s="371"/>
      <c r="AN262" s="371"/>
      <c r="AO262" s="371"/>
      <c r="AP262" s="371"/>
      <c r="AQ262" s="372"/>
      <c r="AU262" s="46"/>
      <c r="AV262" s="46"/>
      <c r="AW262" s="46"/>
    </row>
    <row r="263" spans="2:49" ht="13.5" hidden="1" customHeight="1" x14ac:dyDescent="0.2">
      <c r="B263" s="59"/>
      <c r="C263" s="59"/>
      <c r="D263" s="198"/>
      <c r="E263" s="191"/>
      <c r="F263" s="192"/>
      <c r="G263" s="199">
        <v>3</v>
      </c>
      <c r="H263" s="191"/>
      <c r="I263" s="191"/>
      <c r="J263" s="191"/>
      <c r="K263" s="191"/>
      <c r="L263" s="191"/>
      <c r="M263" s="191"/>
      <c r="N263" s="191"/>
      <c r="O263" s="192"/>
      <c r="P263" s="196"/>
      <c r="Q263" s="196"/>
      <c r="R263" s="197"/>
      <c r="S263" s="198"/>
      <c r="T263" s="191"/>
      <c r="U263" s="192"/>
      <c r="V263" s="199">
        <v>3</v>
      </c>
      <c r="W263" s="191"/>
      <c r="X263" s="191"/>
      <c r="Y263" s="191"/>
      <c r="Z263" s="191"/>
      <c r="AA263" s="191"/>
      <c r="AB263" s="191"/>
      <c r="AC263" s="191"/>
      <c r="AD263" s="192"/>
      <c r="AE263" s="196"/>
      <c r="AF263" s="196"/>
      <c r="AG263" s="361" t="s">
        <v>2</v>
      </c>
      <c r="AH263" s="362"/>
      <c r="AI263" s="362"/>
      <c r="AJ263" s="363"/>
      <c r="AK263" s="367" t="s">
        <v>51</v>
      </c>
      <c r="AL263" s="368"/>
      <c r="AM263" s="368"/>
      <c r="AN263" s="368"/>
      <c r="AO263" s="368"/>
      <c r="AP263" s="368"/>
      <c r="AQ263" s="369"/>
      <c r="AU263" s="46"/>
      <c r="AV263" s="46"/>
      <c r="AW263" s="46"/>
    </row>
    <row r="264" spans="2:49" ht="13.5" hidden="1" customHeight="1" thickBot="1" x14ac:dyDescent="0.25">
      <c r="B264" s="59"/>
      <c r="C264" s="59"/>
      <c r="D264" s="198"/>
      <c r="E264" s="191"/>
      <c r="F264" s="192"/>
      <c r="G264" s="199">
        <v>4</v>
      </c>
      <c r="H264" s="191"/>
      <c r="I264" s="191"/>
      <c r="J264" s="191"/>
      <c r="K264" s="191"/>
      <c r="L264" s="191"/>
      <c r="M264" s="191"/>
      <c r="N264" s="191"/>
      <c r="O264" s="192"/>
      <c r="P264" s="196"/>
      <c r="Q264" s="196"/>
      <c r="R264" s="197"/>
      <c r="S264" s="198"/>
      <c r="T264" s="191"/>
      <c r="U264" s="192"/>
      <c r="V264" s="199">
        <v>4</v>
      </c>
      <c r="W264" s="191"/>
      <c r="X264" s="191"/>
      <c r="Y264" s="191"/>
      <c r="Z264" s="191"/>
      <c r="AA264" s="191"/>
      <c r="AB264" s="191"/>
      <c r="AC264" s="191"/>
      <c r="AD264" s="192"/>
      <c r="AE264" s="196"/>
      <c r="AF264" s="196"/>
      <c r="AG264" s="364"/>
      <c r="AH264" s="365"/>
      <c r="AI264" s="365"/>
      <c r="AJ264" s="366"/>
      <c r="AK264" s="370"/>
      <c r="AL264" s="371"/>
      <c r="AM264" s="371"/>
      <c r="AN264" s="371"/>
      <c r="AO264" s="371"/>
      <c r="AP264" s="371"/>
      <c r="AQ264" s="372"/>
      <c r="AU264" s="46"/>
      <c r="AV264" s="46"/>
      <c r="AW264" s="46"/>
    </row>
    <row r="265" spans="2:49" ht="13.5" hidden="1" customHeight="1" x14ac:dyDescent="0.2">
      <c r="B265" s="59"/>
      <c r="C265" s="59"/>
      <c r="D265" s="198"/>
      <c r="E265" s="191"/>
      <c r="F265" s="192"/>
      <c r="G265" s="199">
        <v>5</v>
      </c>
      <c r="H265" s="191"/>
      <c r="I265" s="191"/>
      <c r="J265" s="191"/>
      <c r="K265" s="191"/>
      <c r="L265" s="191"/>
      <c r="M265" s="191"/>
      <c r="N265" s="191"/>
      <c r="O265" s="192"/>
      <c r="P265" s="196"/>
      <c r="Q265" s="196"/>
      <c r="R265" s="197"/>
      <c r="S265" s="198"/>
      <c r="T265" s="191"/>
      <c r="U265" s="192"/>
      <c r="V265" s="199">
        <v>5</v>
      </c>
      <c r="W265" s="191"/>
      <c r="X265" s="191"/>
      <c r="Y265" s="191"/>
      <c r="Z265" s="191"/>
      <c r="AA265" s="191"/>
      <c r="AB265" s="191"/>
      <c r="AC265" s="191"/>
      <c r="AD265" s="192"/>
      <c r="AE265" s="196"/>
      <c r="AF265" s="196"/>
      <c r="AG265" s="87" t="s">
        <v>52</v>
      </c>
      <c r="AH265" s="55"/>
      <c r="AI265" s="55"/>
      <c r="AJ265" s="55"/>
      <c r="AK265" s="55"/>
      <c r="AL265" s="55"/>
      <c r="AM265" s="55"/>
      <c r="AN265" s="55"/>
      <c r="AO265" s="55" t="s">
        <v>53</v>
      </c>
      <c r="AP265" s="55"/>
      <c r="AQ265" s="64"/>
      <c r="AU265" s="46"/>
      <c r="AV265" s="46"/>
      <c r="AW265" s="46"/>
    </row>
    <row r="266" spans="2:49" ht="13.5" hidden="1" customHeight="1" x14ac:dyDescent="0.2">
      <c r="B266" s="59"/>
      <c r="C266" s="59"/>
      <c r="D266" s="198"/>
      <c r="E266" s="191"/>
      <c r="F266" s="192"/>
      <c r="G266" s="199">
        <v>6</v>
      </c>
      <c r="H266" s="191"/>
      <c r="I266" s="191"/>
      <c r="J266" s="191"/>
      <c r="K266" s="191"/>
      <c r="L266" s="191"/>
      <c r="M266" s="191"/>
      <c r="N266" s="191"/>
      <c r="O266" s="192"/>
      <c r="P266" s="196"/>
      <c r="Q266" s="196"/>
      <c r="R266" s="197"/>
      <c r="S266" s="198"/>
      <c r="T266" s="191"/>
      <c r="U266" s="192"/>
      <c r="V266" s="199">
        <v>6</v>
      </c>
      <c r="W266" s="191"/>
      <c r="X266" s="191"/>
      <c r="Y266" s="191"/>
      <c r="Z266" s="191"/>
      <c r="AA266" s="191"/>
      <c r="AB266" s="191"/>
      <c r="AC266" s="191"/>
      <c r="AD266" s="192"/>
      <c r="AE266" s="196"/>
      <c r="AF266" s="196"/>
      <c r="AG266" s="88"/>
      <c r="AH266" s="52"/>
      <c r="AI266" s="52"/>
      <c r="AJ266" s="52"/>
      <c r="AK266" s="52"/>
      <c r="AL266" s="52"/>
      <c r="AM266" s="52"/>
      <c r="AN266" s="52"/>
      <c r="AO266" s="52"/>
      <c r="AP266" s="52"/>
      <c r="AQ266" s="66"/>
      <c r="AU266" s="46"/>
      <c r="AV266" s="46"/>
      <c r="AW266" s="46"/>
    </row>
    <row r="267" spans="2:49" ht="13.5" hidden="1" customHeight="1" thickBot="1" x14ac:dyDescent="0.25">
      <c r="B267" s="59"/>
      <c r="C267" s="59"/>
      <c r="D267" s="198"/>
      <c r="E267" s="191"/>
      <c r="F267" s="192"/>
      <c r="G267" s="199">
        <v>7</v>
      </c>
      <c r="H267" s="191"/>
      <c r="I267" s="191"/>
      <c r="J267" s="191"/>
      <c r="K267" s="191"/>
      <c r="L267" s="191"/>
      <c r="M267" s="191"/>
      <c r="N267" s="191"/>
      <c r="O267" s="192"/>
      <c r="P267" s="196"/>
      <c r="Q267" s="196"/>
      <c r="R267" s="197"/>
      <c r="S267" s="198"/>
      <c r="T267" s="191"/>
      <c r="U267" s="192"/>
      <c r="V267" s="199">
        <v>7</v>
      </c>
      <c r="W267" s="191"/>
      <c r="X267" s="191"/>
      <c r="Y267" s="191"/>
      <c r="Z267" s="191"/>
      <c r="AA267" s="191"/>
      <c r="AB267" s="191"/>
      <c r="AC267" s="191"/>
      <c r="AD267" s="192"/>
      <c r="AE267" s="196"/>
      <c r="AF267" s="196"/>
      <c r="AG267" s="59" t="s">
        <v>54</v>
      </c>
      <c r="AH267" s="52"/>
      <c r="AI267" s="52"/>
      <c r="AJ267" s="52"/>
      <c r="AK267" s="52"/>
      <c r="AL267" s="52"/>
      <c r="AM267" s="52"/>
      <c r="AN267" s="52"/>
      <c r="AO267" s="52"/>
      <c r="AP267" s="52"/>
      <c r="AQ267" s="66"/>
      <c r="AU267" s="46"/>
      <c r="AV267" s="46"/>
      <c r="AW267" s="46"/>
    </row>
    <row r="268" spans="2:49" ht="13.5" hidden="1" customHeight="1" thickBot="1" x14ac:dyDescent="0.25">
      <c r="B268" s="59"/>
      <c r="C268" s="59"/>
      <c r="D268" s="204"/>
      <c r="E268" s="200"/>
      <c r="F268" s="201"/>
      <c r="G268" s="202">
        <v>8</v>
      </c>
      <c r="H268" s="200"/>
      <c r="I268" s="200"/>
      <c r="J268" s="200"/>
      <c r="K268" s="200"/>
      <c r="L268" s="200"/>
      <c r="M268" s="200"/>
      <c r="N268" s="200"/>
      <c r="O268" s="201"/>
      <c r="P268" s="203"/>
      <c r="Q268" s="203"/>
      <c r="R268" s="197"/>
      <c r="S268" s="204"/>
      <c r="T268" s="200"/>
      <c r="U268" s="201"/>
      <c r="V268" s="202">
        <v>8</v>
      </c>
      <c r="W268" s="200"/>
      <c r="X268" s="200"/>
      <c r="Y268" s="200"/>
      <c r="Z268" s="200"/>
      <c r="AA268" s="200"/>
      <c r="AB268" s="200"/>
      <c r="AC268" s="200"/>
      <c r="AD268" s="201"/>
      <c r="AE268" s="203"/>
      <c r="AF268" s="203"/>
      <c r="AG268" s="89" t="s">
        <v>55</v>
      </c>
      <c r="AH268" s="55"/>
      <c r="AI268" s="55"/>
      <c r="AJ268" s="55"/>
      <c r="AK268" s="55"/>
      <c r="AL268" s="55"/>
      <c r="AM268" s="55"/>
      <c r="AN268" s="55"/>
      <c r="AO268" s="55"/>
      <c r="AP268" s="55"/>
      <c r="AQ268" s="64"/>
      <c r="AU268" s="46"/>
      <c r="AV268" s="46"/>
      <c r="AW268" s="46"/>
    </row>
    <row r="269" spans="2:49" ht="13.5" hidden="1" customHeight="1" thickBot="1" x14ac:dyDescent="0.25">
      <c r="B269" s="59"/>
      <c r="C269" s="59"/>
      <c r="D269" s="74"/>
      <c r="E269" s="90"/>
      <c r="F269" s="90"/>
      <c r="G269" s="90"/>
      <c r="H269" s="90"/>
      <c r="I269" s="90"/>
      <c r="J269" s="91" t="s">
        <v>56</v>
      </c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2"/>
      <c r="AG269" s="69" t="s">
        <v>57</v>
      </c>
      <c r="AH269" s="52"/>
      <c r="AI269" s="52"/>
      <c r="AJ269" s="52"/>
      <c r="AK269" s="52"/>
      <c r="AL269" s="52"/>
      <c r="AM269" s="52"/>
      <c r="AN269" s="52"/>
      <c r="AO269" s="52"/>
      <c r="AP269" s="52"/>
      <c r="AQ269" s="66"/>
      <c r="AU269" s="46"/>
      <c r="AV269" s="46"/>
      <c r="AW269" s="46"/>
    </row>
    <row r="270" spans="2:49" ht="13.5" hidden="1" customHeight="1" thickBot="1" x14ac:dyDescent="0.25">
      <c r="B270" s="59"/>
      <c r="C270" s="59"/>
      <c r="D270" s="93" t="s">
        <v>58</v>
      </c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2"/>
      <c r="S270" s="93" t="s">
        <v>59</v>
      </c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2"/>
      <c r="AG270" s="94" t="s">
        <v>60</v>
      </c>
      <c r="AH270" s="95"/>
      <c r="AI270" s="95"/>
      <c r="AJ270" s="95"/>
      <c r="AK270" s="95"/>
      <c r="AL270" s="72"/>
      <c r="AM270" s="96" t="s">
        <v>61</v>
      </c>
      <c r="AN270" s="95"/>
      <c r="AO270" s="95"/>
      <c r="AP270" s="95"/>
      <c r="AQ270" s="72"/>
      <c r="AU270" s="46"/>
      <c r="AV270" s="46"/>
      <c r="AW270" s="46"/>
    </row>
    <row r="271" spans="2:49" ht="17.25" hidden="1" customHeight="1" thickBot="1" x14ac:dyDescent="0.25">
      <c r="B271" s="57"/>
      <c r="C271" s="57"/>
      <c r="D271" s="93" t="s">
        <v>62</v>
      </c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2"/>
      <c r="S271" s="93" t="s">
        <v>6</v>
      </c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2"/>
      <c r="AG271" s="97" t="s">
        <v>63</v>
      </c>
      <c r="AH271" s="58"/>
      <c r="AI271" s="58"/>
      <c r="AJ271" s="58"/>
      <c r="AK271" s="58"/>
      <c r="AL271" s="72"/>
      <c r="AM271" s="98" t="s">
        <v>64</v>
      </c>
      <c r="AN271" s="58"/>
      <c r="AO271" s="58"/>
      <c r="AP271" s="58"/>
      <c r="AQ271" s="72"/>
      <c r="AU271" s="46"/>
      <c r="AV271" s="46"/>
      <c r="AW271" s="46"/>
    </row>
    <row r="272" spans="2:49" hidden="1" x14ac:dyDescent="0.2">
      <c r="AU272" s="46"/>
      <c r="AV272" s="46"/>
      <c r="AW272" s="46"/>
    </row>
    <row r="273" spans="2:49" ht="15.75" hidden="1" customHeight="1" thickBot="1" x14ac:dyDescent="0.25">
      <c r="AA273" s="52"/>
      <c r="AB273" s="52"/>
      <c r="AC273" s="52"/>
      <c r="AD273" s="52"/>
      <c r="AE273" s="52"/>
      <c r="AF273" s="52"/>
      <c r="AG273" s="52"/>
      <c r="AH273" s="52"/>
      <c r="AU273" s="46"/>
      <c r="AV273" s="46"/>
      <c r="AW273" s="46"/>
    </row>
    <row r="274" spans="2:49" ht="17.25" hidden="1" customHeight="1" x14ac:dyDescent="0.25">
      <c r="B274" s="53"/>
      <c r="C274" s="53"/>
      <c r="D274" s="54" t="s">
        <v>29</v>
      </c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6" t="s">
        <v>73</v>
      </c>
      <c r="Z274" s="55"/>
      <c r="AA274" s="55"/>
      <c r="AB274" s="55"/>
      <c r="AC274" s="55"/>
      <c r="AD274" s="55"/>
      <c r="AE274" s="55"/>
      <c r="AF274" s="55"/>
      <c r="AG274" s="55"/>
      <c r="AH274" s="433" t="s">
        <v>30</v>
      </c>
      <c r="AI274" s="434"/>
      <c r="AJ274" s="434"/>
      <c r="AK274" s="434"/>
      <c r="AL274" s="434"/>
      <c r="AM274" s="435" t="str">
        <f>IF(($AU$9+8)&gt;$AX$9,"",VLOOKUP($AU$9+8,Spielplan,3,0))</f>
        <v/>
      </c>
      <c r="AN274" s="435"/>
      <c r="AO274" s="435"/>
      <c r="AP274" s="435"/>
      <c r="AQ274" s="436"/>
      <c r="AU274" s="46"/>
      <c r="AV274" s="46"/>
      <c r="AW274" s="46"/>
    </row>
    <row r="275" spans="2:49" ht="0.75" hidden="1" customHeight="1" thickBot="1" x14ac:dyDescent="0.25">
      <c r="B275" s="57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9"/>
      <c r="AI275" s="52"/>
      <c r="AJ275" s="52"/>
      <c r="AK275" s="52"/>
      <c r="AL275" s="52"/>
      <c r="AM275" s="60"/>
      <c r="AN275" s="60"/>
      <c r="AO275" s="60"/>
      <c r="AP275" s="60"/>
      <c r="AQ275" s="61"/>
      <c r="AU275" s="46"/>
      <c r="AV275" s="46"/>
      <c r="AW275" s="46"/>
    </row>
    <row r="276" spans="2:49" ht="15" hidden="1" x14ac:dyDescent="0.25">
      <c r="B276" s="53"/>
      <c r="C276" s="62"/>
      <c r="D276" s="53"/>
      <c r="E276" s="63" t="s">
        <v>6</v>
      </c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64"/>
      <c r="S276" s="437" t="s">
        <v>31</v>
      </c>
      <c r="T276" s="438"/>
      <c r="U276" s="438"/>
      <c r="V276" s="438"/>
      <c r="W276" s="438"/>
      <c r="X276" s="438"/>
      <c r="Y276" s="362" t="str">
        <f>IF(($AU$9+8)&gt;$AX$9,"","SHTV")</f>
        <v/>
      </c>
      <c r="Z276" s="362"/>
      <c r="AA276" s="362"/>
      <c r="AB276" s="362"/>
      <c r="AC276" s="362"/>
      <c r="AD276" s="362"/>
      <c r="AE276" s="362"/>
      <c r="AF276" s="362"/>
      <c r="AG276" s="362"/>
      <c r="AH276" s="416" t="s">
        <v>32</v>
      </c>
      <c r="AI276" s="417"/>
      <c r="AJ276" s="417"/>
      <c r="AK276" s="417"/>
      <c r="AL276" s="417"/>
      <c r="AM276" s="420" t="str">
        <f>IF(($AU$9+8)&gt;$AX$9,"",VLOOKUP($AU$9+8,Spielplan,4,0))</f>
        <v/>
      </c>
      <c r="AN276" s="421"/>
      <c r="AO276" s="421"/>
      <c r="AP276" s="421"/>
      <c r="AQ276" s="422"/>
      <c r="AU276" s="46"/>
      <c r="AV276" s="46"/>
      <c r="AW276" s="46"/>
    </row>
    <row r="277" spans="2:49" ht="9.9499999999999993" hidden="1" customHeight="1" x14ac:dyDescent="0.2">
      <c r="B277" s="59"/>
      <c r="C277" s="65"/>
      <c r="D277" s="59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66"/>
      <c r="S277" s="400"/>
      <c r="T277" s="399"/>
      <c r="U277" s="399"/>
      <c r="V277" s="399"/>
      <c r="W277" s="399"/>
      <c r="X277" s="399"/>
      <c r="Y277" s="402"/>
      <c r="Z277" s="402"/>
      <c r="AA277" s="402"/>
      <c r="AB277" s="402"/>
      <c r="AC277" s="402"/>
      <c r="AD277" s="402"/>
      <c r="AE277" s="402"/>
      <c r="AF277" s="402"/>
      <c r="AG277" s="402"/>
      <c r="AH277" s="418"/>
      <c r="AI277" s="419"/>
      <c r="AJ277" s="419"/>
      <c r="AK277" s="419"/>
      <c r="AL277" s="419"/>
      <c r="AM277" s="423"/>
      <c r="AN277" s="423"/>
      <c r="AO277" s="423"/>
      <c r="AP277" s="423"/>
      <c r="AQ277" s="424"/>
      <c r="AU277" s="46"/>
      <c r="AV277" s="46"/>
      <c r="AW277" s="46"/>
    </row>
    <row r="278" spans="2:49" ht="13.15" hidden="1" customHeight="1" x14ac:dyDescent="0.2">
      <c r="B278" s="59"/>
      <c r="C278" s="65"/>
      <c r="D278" s="59"/>
      <c r="E278" s="52" t="s">
        <v>33</v>
      </c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66"/>
      <c r="S278" s="398" t="s">
        <v>34</v>
      </c>
      <c r="T278" s="399"/>
      <c r="U278" s="399"/>
      <c r="V278" s="399"/>
      <c r="W278" s="399"/>
      <c r="X278" s="399"/>
      <c r="Y278" s="402" t="str">
        <f>IF(($AU$9+8)&gt;$AX$9,"",Platzierung!$U$3)</f>
        <v/>
      </c>
      <c r="Z278" s="402"/>
      <c r="AA278" s="402"/>
      <c r="AB278" s="402"/>
      <c r="AC278" s="402"/>
      <c r="AD278" s="402"/>
      <c r="AE278" s="402"/>
      <c r="AF278" s="402"/>
      <c r="AG278" s="402"/>
      <c r="AH278" s="416" t="s">
        <v>35</v>
      </c>
      <c r="AI278" s="417"/>
      <c r="AJ278" s="417"/>
      <c r="AK278" s="417"/>
      <c r="AL278" s="417"/>
      <c r="AM278" s="420" t="str">
        <f>IF(($AU$9+8)&gt;$AX$9,"",VLOOKUP($AU$9+8,Spielplan,6,0))</f>
        <v/>
      </c>
      <c r="AN278" s="421"/>
      <c r="AO278" s="421"/>
      <c r="AP278" s="421"/>
      <c r="AQ278" s="422"/>
      <c r="AU278" s="46"/>
      <c r="AV278" s="46"/>
      <c r="AW278" s="46"/>
    </row>
    <row r="279" spans="2:49" ht="9.9499999999999993" hidden="1" customHeight="1" x14ac:dyDescent="0.2">
      <c r="B279" s="59"/>
      <c r="C279" s="65"/>
      <c r="D279" s="59"/>
      <c r="E279" s="52"/>
      <c r="F279" s="52"/>
      <c r="G279" s="52"/>
      <c r="H279" s="52"/>
      <c r="I279" s="52"/>
      <c r="J279" s="67" t="s">
        <v>36</v>
      </c>
      <c r="K279" s="52"/>
      <c r="L279" s="52"/>
      <c r="M279" s="52"/>
      <c r="N279" s="52"/>
      <c r="O279" s="52"/>
      <c r="P279" s="52"/>
      <c r="Q279" s="52"/>
      <c r="R279" s="66"/>
      <c r="S279" s="400"/>
      <c r="T279" s="399"/>
      <c r="U279" s="399"/>
      <c r="V279" s="399"/>
      <c r="W279" s="399"/>
      <c r="X279" s="399"/>
      <c r="Y279" s="402"/>
      <c r="Z279" s="402"/>
      <c r="AA279" s="402"/>
      <c r="AB279" s="402"/>
      <c r="AC279" s="402"/>
      <c r="AD279" s="402"/>
      <c r="AE279" s="402"/>
      <c r="AF279" s="402"/>
      <c r="AG279" s="402"/>
      <c r="AH279" s="418"/>
      <c r="AI279" s="419"/>
      <c r="AJ279" s="419"/>
      <c r="AK279" s="419"/>
      <c r="AL279" s="419"/>
      <c r="AM279" s="423"/>
      <c r="AN279" s="423"/>
      <c r="AO279" s="423"/>
      <c r="AP279" s="423"/>
      <c r="AQ279" s="424"/>
      <c r="AU279" s="46"/>
      <c r="AV279" s="46"/>
      <c r="AW279" s="46"/>
    </row>
    <row r="280" spans="2:49" ht="15.75" hidden="1" customHeight="1" x14ac:dyDescent="0.2">
      <c r="B280" s="59"/>
      <c r="C280" s="65"/>
      <c r="D280" s="394" t="str">
        <f>IF(($AU$9+8)&gt;$AX$9,"",VLOOKUP($AU$9+8,Spielplan,10,0))</f>
        <v/>
      </c>
      <c r="E280" s="395"/>
      <c r="F280" s="395"/>
      <c r="G280" s="395"/>
      <c r="H280" s="395"/>
      <c r="I280" s="395"/>
      <c r="J280" s="395"/>
      <c r="K280" s="395"/>
      <c r="L280" s="395"/>
      <c r="M280" s="395"/>
      <c r="N280" s="395"/>
      <c r="O280" s="395"/>
      <c r="P280" s="395"/>
      <c r="Q280" s="395"/>
      <c r="R280" s="396"/>
      <c r="S280" s="398" t="s">
        <v>37</v>
      </c>
      <c r="T280" s="399"/>
      <c r="U280" s="399"/>
      <c r="V280" s="399"/>
      <c r="W280" s="399"/>
      <c r="X280" s="399"/>
      <c r="Y280" s="401" t="str">
        <f>IF(($AU$9+8)&gt;$AX$9,"",VLOOKUP($AU$9+8,Spielplan,2,0))</f>
        <v/>
      </c>
      <c r="Z280" s="402"/>
      <c r="AA280" s="402"/>
      <c r="AB280" s="402"/>
      <c r="AC280" s="402"/>
      <c r="AD280" s="402"/>
      <c r="AE280" s="402"/>
      <c r="AF280" s="402"/>
      <c r="AG280" s="402"/>
      <c r="AH280" s="403" t="s">
        <v>38</v>
      </c>
      <c r="AI280" s="399"/>
      <c r="AJ280" s="399"/>
      <c r="AK280" s="399"/>
      <c r="AL280" s="399"/>
      <c r="AM280" s="425" t="str">
        <f>IF(($AU$9+8)&gt;$AX$9,"",VLOOKUP($AU$9+8,Spielplan,5,0))</f>
        <v/>
      </c>
      <c r="AN280" s="426"/>
      <c r="AO280" s="426"/>
      <c r="AP280" s="426"/>
      <c r="AQ280" s="427"/>
      <c r="AU280" s="46"/>
      <c r="AV280" s="46"/>
      <c r="AW280" s="46"/>
    </row>
    <row r="281" spans="2:49" ht="11.1" hidden="1" customHeight="1" thickBot="1" x14ac:dyDescent="0.25">
      <c r="B281" s="59"/>
      <c r="C281" s="65"/>
      <c r="D281" s="397"/>
      <c r="E281" s="395"/>
      <c r="F281" s="395"/>
      <c r="G281" s="395"/>
      <c r="H281" s="395"/>
      <c r="I281" s="395"/>
      <c r="J281" s="395"/>
      <c r="K281" s="395"/>
      <c r="L281" s="395"/>
      <c r="M281" s="395"/>
      <c r="N281" s="395"/>
      <c r="O281" s="395"/>
      <c r="P281" s="395"/>
      <c r="Q281" s="395"/>
      <c r="R281" s="396"/>
      <c r="S281" s="400"/>
      <c r="T281" s="399"/>
      <c r="U281" s="399"/>
      <c r="V281" s="399"/>
      <c r="W281" s="399"/>
      <c r="X281" s="399"/>
      <c r="Y281" s="402"/>
      <c r="Z281" s="402"/>
      <c r="AA281" s="402"/>
      <c r="AB281" s="402"/>
      <c r="AC281" s="402"/>
      <c r="AD281" s="402"/>
      <c r="AE281" s="402"/>
      <c r="AF281" s="402"/>
      <c r="AG281" s="402"/>
      <c r="AH281" s="404"/>
      <c r="AI281" s="405"/>
      <c r="AJ281" s="405"/>
      <c r="AK281" s="405"/>
      <c r="AL281" s="405"/>
      <c r="AM281" s="428"/>
      <c r="AN281" s="428"/>
      <c r="AO281" s="428"/>
      <c r="AP281" s="428"/>
      <c r="AQ281" s="429"/>
      <c r="AU281" s="46"/>
      <c r="AV281" s="46"/>
      <c r="AW281" s="46"/>
    </row>
    <row r="282" spans="2:49" ht="11.1" hidden="1" customHeight="1" thickBot="1" x14ac:dyDescent="0.25">
      <c r="B282" s="59"/>
      <c r="C282" s="65"/>
      <c r="D282" s="57"/>
      <c r="E282" s="58"/>
      <c r="F282" s="58"/>
      <c r="G282" s="58"/>
      <c r="H282" s="58"/>
      <c r="I282" s="58"/>
      <c r="J282" s="58" t="s">
        <v>39</v>
      </c>
      <c r="K282" s="58"/>
      <c r="L282" s="58"/>
      <c r="M282" s="58"/>
      <c r="N282" s="58"/>
      <c r="O282" s="52"/>
      <c r="P282" s="52"/>
      <c r="Q282" s="58"/>
      <c r="R282" s="68"/>
      <c r="S282" s="59"/>
      <c r="T282" s="52"/>
      <c r="U282" s="52"/>
      <c r="V282" s="52"/>
      <c r="W282" s="52"/>
      <c r="X282" s="52"/>
      <c r="Y282" s="430"/>
      <c r="Z282" s="430"/>
      <c r="AA282" s="430"/>
      <c r="AB282" s="430"/>
      <c r="AC282" s="430"/>
      <c r="AD282" s="430"/>
      <c r="AE282" s="430"/>
      <c r="AF282" s="431"/>
      <c r="AG282" s="432"/>
      <c r="AH282" s="69" t="s">
        <v>40</v>
      </c>
      <c r="AI282" s="52"/>
      <c r="AJ282" s="52"/>
      <c r="AK282" s="52"/>
      <c r="AL282" s="52"/>
      <c r="AM282" s="52"/>
      <c r="AN282" s="52"/>
      <c r="AO282" s="70"/>
      <c r="AP282" s="52"/>
      <c r="AQ282" s="66"/>
      <c r="AU282" s="46"/>
      <c r="AV282" s="46"/>
      <c r="AW282" s="46"/>
    </row>
    <row r="283" spans="2:49" ht="13.5" hidden="1" customHeight="1" thickBot="1" x14ac:dyDescent="0.3">
      <c r="B283" s="59"/>
      <c r="C283" s="65"/>
      <c r="D283" s="53"/>
      <c r="E283" s="63" t="s">
        <v>8</v>
      </c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388" t="s">
        <v>41</v>
      </c>
      <c r="R283" s="53"/>
      <c r="S283" s="53"/>
      <c r="T283" s="63" t="s">
        <v>7</v>
      </c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64"/>
      <c r="AF283" s="391" t="s">
        <v>41</v>
      </c>
      <c r="AG283" s="59"/>
      <c r="AH283" s="71" t="s">
        <v>42</v>
      </c>
      <c r="AI283" s="58"/>
      <c r="AJ283" s="58"/>
      <c r="AK283" s="58"/>
      <c r="AL283" s="58"/>
      <c r="AM283" s="58"/>
      <c r="AN283" s="58"/>
      <c r="AO283" s="72"/>
      <c r="AP283" s="52"/>
      <c r="AQ283" s="66"/>
      <c r="AU283" s="46"/>
      <c r="AV283" s="46"/>
      <c r="AW283" s="46"/>
    </row>
    <row r="284" spans="2:49" ht="12" hidden="1" customHeight="1" thickBot="1" x14ac:dyDescent="0.25">
      <c r="B284" s="59"/>
      <c r="C284" s="65"/>
      <c r="D284" s="394" t="str">
        <f>IF(($AU$9+8)&gt;$AX$9,"",VLOOKUP($AU$9+8,Spielplan,7,0))</f>
        <v/>
      </c>
      <c r="E284" s="395"/>
      <c r="F284" s="395"/>
      <c r="G284" s="395"/>
      <c r="H284" s="395"/>
      <c r="I284" s="395"/>
      <c r="J284" s="395"/>
      <c r="K284" s="395"/>
      <c r="L284" s="395"/>
      <c r="M284" s="395"/>
      <c r="N284" s="395"/>
      <c r="O284" s="395"/>
      <c r="P284" s="396"/>
      <c r="Q284" s="389"/>
      <c r="R284" s="59"/>
      <c r="S284" s="394" t="str">
        <f>IF(($AU$9+8)&gt;$AX$9,"",VLOOKUP($AU$9+8,Spielplan,9,0))</f>
        <v/>
      </c>
      <c r="T284" s="395"/>
      <c r="U284" s="395"/>
      <c r="V284" s="395"/>
      <c r="W284" s="395"/>
      <c r="X284" s="395"/>
      <c r="Y284" s="395"/>
      <c r="Z284" s="395"/>
      <c r="AA284" s="395"/>
      <c r="AB284" s="395"/>
      <c r="AC284" s="395"/>
      <c r="AD284" s="395"/>
      <c r="AE284" s="409"/>
      <c r="AF284" s="392"/>
      <c r="AG284" s="59"/>
      <c r="AH284" s="410" t="s">
        <v>43</v>
      </c>
      <c r="AI284" s="411"/>
      <c r="AJ284" s="411"/>
      <c r="AK284" s="411"/>
      <c r="AL284" s="411"/>
      <c r="AM284" s="412"/>
      <c r="AN284" s="73" t="s">
        <v>44</v>
      </c>
      <c r="AO284" s="74"/>
      <c r="AP284" s="74"/>
      <c r="AQ284" s="72"/>
      <c r="AU284" s="46"/>
      <c r="AV284" s="46"/>
      <c r="AW284" s="46"/>
    </row>
    <row r="285" spans="2:49" ht="12" hidden="1" customHeight="1" thickBot="1" x14ac:dyDescent="0.25">
      <c r="B285" s="57"/>
      <c r="C285" s="70"/>
      <c r="D285" s="406"/>
      <c r="E285" s="407"/>
      <c r="F285" s="407"/>
      <c r="G285" s="407"/>
      <c r="H285" s="407"/>
      <c r="I285" s="407"/>
      <c r="J285" s="407"/>
      <c r="K285" s="407"/>
      <c r="L285" s="407"/>
      <c r="M285" s="407"/>
      <c r="N285" s="407"/>
      <c r="O285" s="407"/>
      <c r="P285" s="408"/>
      <c r="Q285" s="390"/>
      <c r="R285" s="57"/>
      <c r="S285" s="406"/>
      <c r="T285" s="407"/>
      <c r="U285" s="407"/>
      <c r="V285" s="407"/>
      <c r="W285" s="407"/>
      <c r="X285" s="407"/>
      <c r="Y285" s="407"/>
      <c r="Z285" s="407"/>
      <c r="AA285" s="407"/>
      <c r="AB285" s="407"/>
      <c r="AC285" s="407"/>
      <c r="AD285" s="407"/>
      <c r="AE285" s="385"/>
      <c r="AF285" s="393"/>
      <c r="AG285" s="57"/>
      <c r="AH285" s="413"/>
      <c r="AI285" s="414"/>
      <c r="AJ285" s="414"/>
      <c r="AK285" s="414"/>
      <c r="AL285" s="414"/>
      <c r="AM285" s="415"/>
      <c r="AN285" s="73" t="s">
        <v>45</v>
      </c>
      <c r="AO285" s="74"/>
      <c r="AP285" s="74"/>
      <c r="AQ285" s="72"/>
      <c r="AU285" s="46"/>
      <c r="AV285" s="46"/>
      <c r="AW285" s="46"/>
    </row>
    <row r="286" spans="2:49" ht="9.9499999999999993" hidden="1" customHeight="1" thickBot="1" x14ac:dyDescent="0.25">
      <c r="B286" s="59"/>
      <c r="C286" s="59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66"/>
      <c r="AU286" s="46"/>
      <c r="AV286" s="46"/>
      <c r="AW286" s="46"/>
    </row>
    <row r="287" spans="2:49" hidden="1" x14ac:dyDescent="0.2">
      <c r="B287" s="53"/>
      <c r="C287" s="62" t="s">
        <v>44</v>
      </c>
      <c r="D287" s="75"/>
      <c r="E287" s="76"/>
      <c r="F287" s="76"/>
      <c r="G287" s="76"/>
      <c r="H287" s="77"/>
      <c r="I287" s="75"/>
      <c r="J287" s="76"/>
      <c r="K287" s="76"/>
      <c r="L287" s="76"/>
      <c r="M287" s="77"/>
      <c r="N287" s="75"/>
      <c r="O287" s="76"/>
      <c r="P287" s="76"/>
      <c r="Q287" s="76"/>
      <c r="R287" s="77"/>
      <c r="S287" s="75"/>
      <c r="T287" s="76"/>
      <c r="U287" s="76"/>
      <c r="V287" s="76"/>
      <c r="W287" s="77"/>
      <c r="X287" s="75"/>
      <c r="Y287" s="76"/>
      <c r="Z287" s="76"/>
      <c r="AA287" s="76"/>
      <c r="AB287" s="77"/>
      <c r="AC287" s="75"/>
      <c r="AD287" s="76"/>
      <c r="AE287" s="76"/>
      <c r="AF287" s="76"/>
      <c r="AG287" s="77"/>
      <c r="AH287" s="75"/>
      <c r="AI287" s="76"/>
      <c r="AJ287" s="76"/>
      <c r="AK287" s="76"/>
      <c r="AL287" s="76"/>
      <c r="AM287" s="188" t="s">
        <v>44</v>
      </c>
      <c r="AN287" s="386"/>
      <c r="AO287" s="386"/>
      <c r="AP287" s="386"/>
      <c r="AQ287" s="387"/>
      <c r="AU287" s="46"/>
      <c r="AV287" s="46"/>
      <c r="AW287" s="46"/>
    </row>
    <row r="288" spans="2:49" ht="13.5" hidden="1" thickBot="1" x14ac:dyDescent="0.25">
      <c r="B288" s="57"/>
      <c r="C288" s="70" t="s">
        <v>45</v>
      </c>
      <c r="D288" s="57"/>
      <c r="E288" s="78"/>
      <c r="F288" s="78"/>
      <c r="G288" s="78"/>
      <c r="H288" s="79"/>
      <c r="I288" s="57"/>
      <c r="J288" s="78"/>
      <c r="K288" s="78"/>
      <c r="L288" s="78"/>
      <c r="M288" s="79"/>
      <c r="N288" s="57"/>
      <c r="O288" s="78"/>
      <c r="P288" s="78"/>
      <c r="Q288" s="78"/>
      <c r="R288" s="79"/>
      <c r="S288" s="57"/>
      <c r="T288" s="78"/>
      <c r="U288" s="78"/>
      <c r="V288" s="78"/>
      <c r="W288" s="79"/>
      <c r="X288" s="57"/>
      <c r="Y288" s="78"/>
      <c r="Z288" s="78"/>
      <c r="AA288" s="78"/>
      <c r="AB288" s="79"/>
      <c r="AC288" s="57"/>
      <c r="AD288" s="78"/>
      <c r="AE288" s="78"/>
      <c r="AF288" s="78"/>
      <c r="AG288" s="79"/>
      <c r="AH288" s="57"/>
      <c r="AI288" s="78"/>
      <c r="AJ288" s="78"/>
      <c r="AK288" s="78"/>
      <c r="AL288" s="78"/>
      <c r="AM288" s="190" t="s">
        <v>45</v>
      </c>
      <c r="AN288" s="323"/>
      <c r="AO288" s="323"/>
      <c r="AP288" s="323"/>
      <c r="AQ288" s="324"/>
      <c r="AU288" s="46"/>
      <c r="AV288" s="46"/>
      <c r="AW288" s="46"/>
    </row>
    <row r="289" spans="2:49" hidden="1" x14ac:dyDescent="0.2">
      <c r="B289" s="53"/>
      <c r="C289" s="62" t="s">
        <v>44</v>
      </c>
      <c r="D289" s="75"/>
      <c r="E289" s="76"/>
      <c r="F289" s="76"/>
      <c r="G289" s="76"/>
      <c r="H289" s="77"/>
      <c r="I289" s="75"/>
      <c r="J289" s="76"/>
      <c r="K289" s="76"/>
      <c r="L289" s="76"/>
      <c r="M289" s="77"/>
      <c r="N289" s="75"/>
      <c r="O289" s="76"/>
      <c r="P289" s="76"/>
      <c r="Q289" s="76"/>
      <c r="R289" s="77"/>
      <c r="S289" s="75"/>
      <c r="T289" s="76"/>
      <c r="U289" s="76"/>
      <c r="V289" s="76"/>
      <c r="W289" s="77"/>
      <c r="X289" s="75"/>
      <c r="Y289" s="76"/>
      <c r="Z289" s="76"/>
      <c r="AA289" s="76"/>
      <c r="AB289" s="77"/>
      <c r="AC289" s="75"/>
      <c r="AD289" s="76"/>
      <c r="AE289" s="76"/>
      <c r="AF289" s="76"/>
      <c r="AG289" s="77"/>
      <c r="AH289" s="75"/>
      <c r="AI289" s="76"/>
      <c r="AJ289" s="76"/>
      <c r="AK289" s="76"/>
      <c r="AL289" s="76"/>
      <c r="AM289" s="188" t="s">
        <v>44</v>
      </c>
      <c r="AN289" s="386"/>
      <c r="AO289" s="386"/>
      <c r="AP289" s="386"/>
      <c r="AQ289" s="387"/>
      <c r="AU289" s="46"/>
      <c r="AV289" s="46"/>
      <c r="AW289" s="46"/>
    </row>
    <row r="290" spans="2:49" ht="13.5" hidden="1" thickBot="1" x14ac:dyDescent="0.25">
      <c r="B290" s="57"/>
      <c r="C290" s="70" t="s">
        <v>45</v>
      </c>
      <c r="D290" s="57"/>
      <c r="E290" s="78"/>
      <c r="F290" s="78"/>
      <c r="G290" s="78"/>
      <c r="H290" s="79"/>
      <c r="I290" s="57"/>
      <c r="J290" s="78"/>
      <c r="K290" s="78"/>
      <c r="L290" s="78"/>
      <c r="M290" s="79"/>
      <c r="N290" s="57"/>
      <c r="O290" s="78"/>
      <c r="P290" s="78"/>
      <c r="Q290" s="78"/>
      <c r="R290" s="79"/>
      <c r="S290" s="57"/>
      <c r="T290" s="78"/>
      <c r="U290" s="78"/>
      <c r="V290" s="78"/>
      <c r="W290" s="79"/>
      <c r="X290" s="57"/>
      <c r="Y290" s="78"/>
      <c r="Z290" s="78"/>
      <c r="AA290" s="78"/>
      <c r="AB290" s="79"/>
      <c r="AC290" s="57"/>
      <c r="AD290" s="78"/>
      <c r="AE290" s="78"/>
      <c r="AF290" s="78"/>
      <c r="AG290" s="79"/>
      <c r="AH290" s="57"/>
      <c r="AI290" s="78"/>
      <c r="AJ290" s="78"/>
      <c r="AK290" s="78"/>
      <c r="AL290" s="78"/>
      <c r="AM290" s="189" t="s">
        <v>45</v>
      </c>
      <c r="AN290" s="338"/>
      <c r="AO290" s="338"/>
      <c r="AP290" s="338"/>
      <c r="AQ290" s="339"/>
      <c r="AU290" s="46"/>
      <c r="AV290" s="46"/>
      <c r="AW290" s="46"/>
    </row>
    <row r="291" spans="2:49" hidden="1" x14ac:dyDescent="0.2">
      <c r="B291" s="53"/>
      <c r="C291" s="62" t="s">
        <v>44</v>
      </c>
      <c r="D291" s="75"/>
      <c r="E291" s="76"/>
      <c r="F291" s="76"/>
      <c r="G291" s="76"/>
      <c r="H291" s="77"/>
      <c r="I291" s="75"/>
      <c r="J291" s="76"/>
      <c r="K291" s="76"/>
      <c r="L291" s="76"/>
      <c r="M291" s="77"/>
      <c r="N291" s="75"/>
      <c r="O291" s="76"/>
      <c r="P291" s="76"/>
      <c r="Q291" s="76"/>
      <c r="R291" s="77"/>
      <c r="S291" s="75"/>
      <c r="T291" s="76"/>
      <c r="U291" s="76"/>
      <c r="V291" s="76"/>
      <c r="W291" s="77"/>
      <c r="X291" s="75"/>
      <c r="Y291" s="76"/>
      <c r="Z291" s="76"/>
      <c r="AA291" s="76"/>
      <c r="AB291" s="77"/>
      <c r="AC291" s="75"/>
      <c r="AD291" s="76"/>
      <c r="AE291" s="76"/>
      <c r="AF291" s="76"/>
      <c r="AG291" s="77"/>
      <c r="AH291" s="75"/>
      <c r="AI291" s="76"/>
      <c r="AJ291" s="76"/>
      <c r="AK291" s="76"/>
      <c r="AL291" s="76"/>
      <c r="AM291" s="188" t="s">
        <v>44</v>
      </c>
      <c r="AN291" s="386"/>
      <c r="AO291" s="386"/>
      <c r="AP291" s="386"/>
      <c r="AQ291" s="387"/>
      <c r="AU291" s="46"/>
      <c r="AV291" s="46"/>
      <c r="AW291" s="46"/>
    </row>
    <row r="292" spans="2:49" ht="13.5" hidden="1" thickBot="1" x14ac:dyDescent="0.25">
      <c r="B292" s="57"/>
      <c r="C292" s="70" t="s">
        <v>45</v>
      </c>
      <c r="D292" s="57"/>
      <c r="E292" s="78"/>
      <c r="F292" s="78"/>
      <c r="G292" s="78"/>
      <c r="H292" s="79"/>
      <c r="I292" s="57"/>
      <c r="J292" s="78"/>
      <c r="K292" s="78"/>
      <c r="L292" s="78"/>
      <c r="M292" s="79"/>
      <c r="N292" s="57"/>
      <c r="O292" s="78"/>
      <c r="P292" s="78"/>
      <c r="Q292" s="78"/>
      <c r="R292" s="79"/>
      <c r="S292" s="57"/>
      <c r="T292" s="78"/>
      <c r="U292" s="78"/>
      <c r="V292" s="78"/>
      <c r="W292" s="79"/>
      <c r="X292" s="57"/>
      <c r="Y292" s="78"/>
      <c r="Z292" s="78"/>
      <c r="AA292" s="78"/>
      <c r="AB292" s="79"/>
      <c r="AC292" s="57"/>
      <c r="AD292" s="78"/>
      <c r="AE292" s="78"/>
      <c r="AF292" s="78"/>
      <c r="AG292" s="79"/>
      <c r="AH292" s="57"/>
      <c r="AI292" s="78"/>
      <c r="AJ292" s="78"/>
      <c r="AK292" s="78"/>
      <c r="AL292" s="78"/>
      <c r="AM292" s="189" t="s">
        <v>45</v>
      </c>
      <c r="AN292" s="338"/>
      <c r="AO292" s="338"/>
      <c r="AP292" s="338"/>
      <c r="AQ292" s="339"/>
      <c r="AU292" s="46"/>
      <c r="AV292" s="46"/>
      <c r="AW292" s="46"/>
    </row>
    <row r="293" spans="2:49" ht="9.9499999999999993" hidden="1" customHeight="1" x14ac:dyDescent="0.2">
      <c r="B293" s="59"/>
      <c r="C293" s="59"/>
      <c r="D293" s="374" t="s">
        <v>46</v>
      </c>
      <c r="E293" s="375"/>
      <c r="F293" s="376"/>
      <c r="G293" s="380" t="s">
        <v>47</v>
      </c>
      <c r="H293" s="381"/>
      <c r="I293" s="381"/>
      <c r="J293" s="381"/>
      <c r="K293" s="381"/>
      <c r="L293" s="381"/>
      <c r="M293" s="381"/>
      <c r="N293" s="381"/>
      <c r="O293" s="382"/>
      <c r="P293" s="359" t="s">
        <v>41</v>
      </c>
      <c r="Q293" s="359" t="s">
        <v>48</v>
      </c>
      <c r="R293" s="52"/>
      <c r="S293" s="374" t="s">
        <v>46</v>
      </c>
      <c r="T293" s="375"/>
      <c r="U293" s="376"/>
      <c r="V293" s="380" t="s">
        <v>47</v>
      </c>
      <c r="W293" s="381"/>
      <c r="X293" s="381"/>
      <c r="Y293" s="381"/>
      <c r="Z293" s="381"/>
      <c r="AA293" s="381"/>
      <c r="AB293" s="381"/>
      <c r="AC293" s="381"/>
      <c r="AD293" s="382"/>
      <c r="AE293" s="359" t="s">
        <v>41</v>
      </c>
      <c r="AF293" s="359" t="s">
        <v>48</v>
      </c>
      <c r="AG293" s="80"/>
      <c r="AH293" s="81"/>
      <c r="AI293" s="81"/>
      <c r="AJ293" s="81"/>
      <c r="AK293" s="81"/>
      <c r="AL293" s="81"/>
      <c r="AM293" s="99"/>
      <c r="AN293" s="373" t="s">
        <v>1</v>
      </c>
      <c r="AO293" s="373"/>
      <c r="AP293" s="373" t="s">
        <v>2</v>
      </c>
      <c r="AQ293" s="373"/>
      <c r="AR293" s="82"/>
      <c r="AU293" s="46"/>
      <c r="AV293" s="46"/>
      <c r="AW293" s="46"/>
    </row>
    <row r="294" spans="2:49" ht="13.5" hidden="1" thickBot="1" x14ac:dyDescent="0.25">
      <c r="B294" s="59"/>
      <c r="C294" s="59"/>
      <c r="D294" s="377"/>
      <c r="E294" s="378"/>
      <c r="F294" s="379"/>
      <c r="G294" s="383"/>
      <c r="H294" s="384"/>
      <c r="I294" s="384"/>
      <c r="J294" s="384"/>
      <c r="K294" s="384"/>
      <c r="L294" s="384"/>
      <c r="M294" s="384"/>
      <c r="N294" s="384"/>
      <c r="O294" s="385"/>
      <c r="P294" s="360"/>
      <c r="Q294" s="360"/>
      <c r="R294" s="52"/>
      <c r="S294" s="377"/>
      <c r="T294" s="378"/>
      <c r="U294" s="379"/>
      <c r="V294" s="383"/>
      <c r="W294" s="384"/>
      <c r="X294" s="384"/>
      <c r="Y294" s="384"/>
      <c r="Z294" s="384"/>
      <c r="AA294" s="384"/>
      <c r="AB294" s="384"/>
      <c r="AC294" s="384"/>
      <c r="AD294" s="385"/>
      <c r="AE294" s="360"/>
      <c r="AF294" s="360"/>
      <c r="AG294" s="83"/>
      <c r="AH294" s="52"/>
      <c r="AI294" s="84" t="s">
        <v>49</v>
      </c>
      <c r="AJ294" s="84"/>
      <c r="AK294" s="84"/>
      <c r="AL294" s="84"/>
      <c r="AM294" s="84"/>
      <c r="AN294" s="84"/>
      <c r="AO294" s="85"/>
      <c r="AP294" s="85"/>
      <c r="AQ294" s="86"/>
      <c r="AR294" s="82"/>
      <c r="AU294" s="46"/>
      <c r="AV294" s="46"/>
      <c r="AW294" s="46"/>
    </row>
    <row r="295" spans="2:49" ht="13.5" hidden="1" customHeight="1" x14ac:dyDescent="0.2">
      <c r="B295" s="59"/>
      <c r="C295" s="59"/>
      <c r="D295" s="198"/>
      <c r="E295" s="191"/>
      <c r="F295" s="192"/>
      <c r="G295" s="193" t="s">
        <v>50</v>
      </c>
      <c r="H295" s="194"/>
      <c r="I295" s="194"/>
      <c r="J295" s="194"/>
      <c r="K295" s="194"/>
      <c r="L295" s="194"/>
      <c r="M295" s="194"/>
      <c r="N295" s="194"/>
      <c r="O295" s="195"/>
      <c r="P295" s="196"/>
      <c r="Q295" s="196"/>
      <c r="R295" s="197"/>
      <c r="S295" s="198"/>
      <c r="T295" s="191"/>
      <c r="U295" s="192"/>
      <c r="V295" s="193" t="s">
        <v>50</v>
      </c>
      <c r="W295" s="194"/>
      <c r="X295" s="194"/>
      <c r="Y295" s="194"/>
      <c r="Z295" s="194"/>
      <c r="AA295" s="194"/>
      <c r="AB295" s="194"/>
      <c r="AC295" s="194"/>
      <c r="AD295" s="195"/>
      <c r="AE295" s="196"/>
      <c r="AF295" s="196"/>
      <c r="AG295" s="361" t="s">
        <v>68</v>
      </c>
      <c r="AH295" s="362"/>
      <c r="AI295" s="362"/>
      <c r="AJ295" s="363"/>
      <c r="AK295" s="367" t="s">
        <v>51</v>
      </c>
      <c r="AL295" s="368"/>
      <c r="AM295" s="368"/>
      <c r="AN295" s="368"/>
      <c r="AO295" s="368"/>
      <c r="AP295" s="368"/>
      <c r="AQ295" s="369"/>
      <c r="AU295" s="46"/>
      <c r="AV295" s="46"/>
      <c r="AW295" s="46"/>
    </row>
    <row r="296" spans="2:49" ht="13.5" hidden="1" customHeight="1" thickBot="1" x14ac:dyDescent="0.25">
      <c r="B296" s="59"/>
      <c r="C296" s="59"/>
      <c r="D296" s="198"/>
      <c r="E296" s="191"/>
      <c r="F296" s="192"/>
      <c r="G296" s="199">
        <v>2</v>
      </c>
      <c r="H296" s="191"/>
      <c r="I296" s="191"/>
      <c r="J296" s="191"/>
      <c r="K296" s="191"/>
      <c r="L296" s="191"/>
      <c r="M296" s="191"/>
      <c r="N296" s="191"/>
      <c r="O296" s="192"/>
      <c r="P296" s="196"/>
      <c r="Q296" s="196"/>
      <c r="R296" s="197"/>
      <c r="S296" s="198"/>
      <c r="T296" s="191"/>
      <c r="U296" s="192"/>
      <c r="V296" s="199">
        <v>2</v>
      </c>
      <c r="W296" s="191"/>
      <c r="X296" s="191"/>
      <c r="Y296" s="191"/>
      <c r="Z296" s="191"/>
      <c r="AA296" s="191"/>
      <c r="AB296" s="191"/>
      <c r="AC296" s="191"/>
      <c r="AD296" s="192"/>
      <c r="AE296" s="196"/>
      <c r="AF296" s="196"/>
      <c r="AG296" s="364"/>
      <c r="AH296" s="365"/>
      <c r="AI296" s="365"/>
      <c r="AJ296" s="366"/>
      <c r="AK296" s="370"/>
      <c r="AL296" s="371"/>
      <c r="AM296" s="371"/>
      <c r="AN296" s="371"/>
      <c r="AO296" s="371"/>
      <c r="AP296" s="371"/>
      <c r="AQ296" s="372"/>
      <c r="AU296" s="46"/>
      <c r="AV296" s="46"/>
      <c r="AW296" s="46"/>
    </row>
    <row r="297" spans="2:49" ht="13.5" hidden="1" customHeight="1" x14ac:dyDescent="0.2">
      <c r="B297" s="59"/>
      <c r="C297" s="59"/>
      <c r="D297" s="198"/>
      <c r="E297" s="191"/>
      <c r="F297" s="192"/>
      <c r="G297" s="199">
        <v>3</v>
      </c>
      <c r="H297" s="191"/>
      <c r="I297" s="191"/>
      <c r="J297" s="191"/>
      <c r="K297" s="191"/>
      <c r="L297" s="191"/>
      <c r="M297" s="191"/>
      <c r="N297" s="191"/>
      <c r="O297" s="192"/>
      <c r="P297" s="196"/>
      <c r="Q297" s="196"/>
      <c r="R297" s="197"/>
      <c r="S297" s="198"/>
      <c r="T297" s="191"/>
      <c r="U297" s="192"/>
      <c r="V297" s="199">
        <v>3</v>
      </c>
      <c r="W297" s="191"/>
      <c r="X297" s="191"/>
      <c r="Y297" s="191"/>
      <c r="Z297" s="191"/>
      <c r="AA297" s="191"/>
      <c r="AB297" s="191"/>
      <c r="AC297" s="191"/>
      <c r="AD297" s="192"/>
      <c r="AE297" s="196"/>
      <c r="AF297" s="196"/>
      <c r="AG297" s="361" t="s">
        <v>2</v>
      </c>
      <c r="AH297" s="362"/>
      <c r="AI297" s="362"/>
      <c r="AJ297" s="363"/>
      <c r="AK297" s="367" t="s">
        <v>51</v>
      </c>
      <c r="AL297" s="368"/>
      <c r="AM297" s="368"/>
      <c r="AN297" s="368"/>
      <c r="AO297" s="368"/>
      <c r="AP297" s="368"/>
      <c r="AQ297" s="369"/>
      <c r="AU297" s="46"/>
      <c r="AV297" s="46"/>
      <c r="AW297" s="46"/>
    </row>
    <row r="298" spans="2:49" ht="13.5" hidden="1" customHeight="1" thickBot="1" x14ac:dyDescent="0.25">
      <c r="B298" s="59"/>
      <c r="C298" s="59"/>
      <c r="D298" s="198"/>
      <c r="E298" s="191"/>
      <c r="F298" s="192"/>
      <c r="G298" s="199">
        <v>4</v>
      </c>
      <c r="H298" s="191"/>
      <c r="I298" s="191"/>
      <c r="J298" s="191"/>
      <c r="K298" s="191"/>
      <c r="L298" s="191"/>
      <c r="M298" s="191"/>
      <c r="N298" s="191"/>
      <c r="O298" s="192"/>
      <c r="P298" s="196"/>
      <c r="Q298" s="196"/>
      <c r="R298" s="197"/>
      <c r="S298" s="198"/>
      <c r="T298" s="191"/>
      <c r="U298" s="192"/>
      <c r="V298" s="199">
        <v>4</v>
      </c>
      <c r="W298" s="191"/>
      <c r="X298" s="191"/>
      <c r="Y298" s="191"/>
      <c r="Z298" s="191"/>
      <c r="AA298" s="191"/>
      <c r="AB298" s="191"/>
      <c r="AC298" s="191"/>
      <c r="AD298" s="192"/>
      <c r="AE298" s="196"/>
      <c r="AF298" s="196"/>
      <c r="AG298" s="364"/>
      <c r="AH298" s="365"/>
      <c r="AI298" s="365"/>
      <c r="AJ298" s="366"/>
      <c r="AK298" s="370"/>
      <c r="AL298" s="371"/>
      <c r="AM298" s="371"/>
      <c r="AN298" s="371"/>
      <c r="AO298" s="371"/>
      <c r="AP298" s="371"/>
      <c r="AQ298" s="372"/>
      <c r="AU298" s="46"/>
      <c r="AV298" s="46"/>
      <c r="AW298" s="46"/>
    </row>
    <row r="299" spans="2:49" ht="13.5" hidden="1" customHeight="1" x14ac:dyDescent="0.2">
      <c r="B299" s="59"/>
      <c r="C299" s="59"/>
      <c r="D299" s="198"/>
      <c r="E299" s="191"/>
      <c r="F299" s="192"/>
      <c r="G299" s="199">
        <v>5</v>
      </c>
      <c r="H299" s="191"/>
      <c r="I299" s="191"/>
      <c r="J299" s="191"/>
      <c r="K299" s="191"/>
      <c r="L299" s="191"/>
      <c r="M299" s="191"/>
      <c r="N299" s="191"/>
      <c r="O299" s="192"/>
      <c r="P299" s="196"/>
      <c r="Q299" s="196"/>
      <c r="R299" s="197"/>
      <c r="S299" s="198"/>
      <c r="T299" s="191"/>
      <c r="U299" s="192"/>
      <c r="V299" s="199">
        <v>5</v>
      </c>
      <c r="W299" s="191"/>
      <c r="X299" s="191"/>
      <c r="Y299" s="191"/>
      <c r="Z299" s="191"/>
      <c r="AA299" s="191"/>
      <c r="AB299" s="191"/>
      <c r="AC299" s="191"/>
      <c r="AD299" s="192"/>
      <c r="AE299" s="196"/>
      <c r="AF299" s="196"/>
      <c r="AG299" s="87" t="s">
        <v>52</v>
      </c>
      <c r="AH299" s="55"/>
      <c r="AI299" s="55"/>
      <c r="AJ299" s="55"/>
      <c r="AK299" s="55"/>
      <c r="AL299" s="55"/>
      <c r="AM299" s="55"/>
      <c r="AN299" s="55"/>
      <c r="AO299" s="55" t="s">
        <v>53</v>
      </c>
      <c r="AP299" s="55"/>
      <c r="AQ299" s="64"/>
      <c r="AU299" s="46"/>
      <c r="AV299" s="46"/>
      <c r="AW299" s="46"/>
    </row>
    <row r="300" spans="2:49" ht="13.5" hidden="1" customHeight="1" x14ac:dyDescent="0.2">
      <c r="B300" s="59"/>
      <c r="C300" s="59"/>
      <c r="D300" s="198"/>
      <c r="E300" s="191"/>
      <c r="F300" s="192"/>
      <c r="G300" s="199">
        <v>6</v>
      </c>
      <c r="H300" s="191"/>
      <c r="I300" s="191"/>
      <c r="J300" s="191"/>
      <c r="K300" s="191"/>
      <c r="L300" s="191"/>
      <c r="M300" s="191"/>
      <c r="N300" s="191"/>
      <c r="O300" s="192"/>
      <c r="P300" s="196"/>
      <c r="Q300" s="196"/>
      <c r="R300" s="197"/>
      <c r="S300" s="198"/>
      <c r="T300" s="191"/>
      <c r="U300" s="192"/>
      <c r="V300" s="199">
        <v>6</v>
      </c>
      <c r="W300" s="191"/>
      <c r="X300" s="191"/>
      <c r="Y300" s="191"/>
      <c r="Z300" s="191"/>
      <c r="AA300" s="191"/>
      <c r="AB300" s="191"/>
      <c r="AC300" s="191"/>
      <c r="AD300" s="192"/>
      <c r="AE300" s="196"/>
      <c r="AF300" s="196"/>
      <c r="AG300" s="88"/>
      <c r="AH300" s="52"/>
      <c r="AI300" s="52"/>
      <c r="AJ300" s="52"/>
      <c r="AK300" s="52"/>
      <c r="AL300" s="52"/>
      <c r="AM300" s="52"/>
      <c r="AN300" s="52"/>
      <c r="AO300" s="52"/>
      <c r="AP300" s="52"/>
      <c r="AQ300" s="66"/>
      <c r="AU300" s="46"/>
      <c r="AV300" s="46"/>
      <c r="AW300" s="46"/>
    </row>
    <row r="301" spans="2:49" ht="13.5" hidden="1" customHeight="1" thickBot="1" x14ac:dyDescent="0.25">
      <c r="B301" s="59"/>
      <c r="C301" s="59"/>
      <c r="D301" s="198"/>
      <c r="E301" s="191"/>
      <c r="F301" s="192"/>
      <c r="G301" s="199">
        <v>7</v>
      </c>
      <c r="H301" s="191"/>
      <c r="I301" s="191"/>
      <c r="J301" s="191"/>
      <c r="K301" s="191"/>
      <c r="L301" s="191"/>
      <c r="M301" s="191"/>
      <c r="N301" s="191"/>
      <c r="O301" s="192"/>
      <c r="P301" s="196"/>
      <c r="Q301" s="196"/>
      <c r="R301" s="197"/>
      <c r="S301" s="198"/>
      <c r="T301" s="191"/>
      <c r="U301" s="192"/>
      <c r="V301" s="199">
        <v>7</v>
      </c>
      <c r="W301" s="191"/>
      <c r="X301" s="191"/>
      <c r="Y301" s="191"/>
      <c r="Z301" s="191"/>
      <c r="AA301" s="191"/>
      <c r="AB301" s="191"/>
      <c r="AC301" s="191"/>
      <c r="AD301" s="192"/>
      <c r="AE301" s="196"/>
      <c r="AF301" s="196"/>
      <c r="AG301" s="59" t="s">
        <v>54</v>
      </c>
      <c r="AH301" s="52"/>
      <c r="AI301" s="52"/>
      <c r="AJ301" s="52"/>
      <c r="AK301" s="52"/>
      <c r="AL301" s="52"/>
      <c r="AM301" s="52"/>
      <c r="AN301" s="52"/>
      <c r="AO301" s="52"/>
      <c r="AP301" s="52"/>
      <c r="AQ301" s="66"/>
      <c r="AU301" s="46"/>
      <c r="AV301" s="46"/>
      <c r="AW301" s="46"/>
    </row>
    <row r="302" spans="2:49" ht="13.5" hidden="1" customHeight="1" thickBot="1" x14ac:dyDescent="0.25">
      <c r="B302" s="59"/>
      <c r="C302" s="59"/>
      <c r="D302" s="204"/>
      <c r="E302" s="200"/>
      <c r="F302" s="201"/>
      <c r="G302" s="202">
        <v>8</v>
      </c>
      <c r="H302" s="200"/>
      <c r="I302" s="200"/>
      <c r="J302" s="200"/>
      <c r="K302" s="200"/>
      <c r="L302" s="200"/>
      <c r="M302" s="200"/>
      <c r="N302" s="200"/>
      <c r="O302" s="201"/>
      <c r="P302" s="203"/>
      <c r="Q302" s="203"/>
      <c r="R302" s="197"/>
      <c r="S302" s="204"/>
      <c r="T302" s="200"/>
      <c r="U302" s="201"/>
      <c r="V302" s="202">
        <v>8</v>
      </c>
      <c r="W302" s="200"/>
      <c r="X302" s="200"/>
      <c r="Y302" s="200"/>
      <c r="Z302" s="200"/>
      <c r="AA302" s="200"/>
      <c r="AB302" s="200"/>
      <c r="AC302" s="200"/>
      <c r="AD302" s="201"/>
      <c r="AE302" s="203"/>
      <c r="AF302" s="203"/>
      <c r="AG302" s="89" t="s">
        <v>55</v>
      </c>
      <c r="AH302" s="55"/>
      <c r="AI302" s="55"/>
      <c r="AJ302" s="55"/>
      <c r="AK302" s="55"/>
      <c r="AL302" s="55"/>
      <c r="AM302" s="55"/>
      <c r="AN302" s="55"/>
      <c r="AO302" s="55"/>
      <c r="AP302" s="55"/>
      <c r="AQ302" s="64"/>
      <c r="AU302" s="46"/>
      <c r="AV302" s="46"/>
      <c r="AW302" s="46"/>
    </row>
    <row r="303" spans="2:49" ht="13.5" hidden="1" customHeight="1" thickBot="1" x14ac:dyDescent="0.25">
      <c r="B303" s="59"/>
      <c r="C303" s="59"/>
      <c r="D303" s="74"/>
      <c r="E303" s="90"/>
      <c r="F303" s="90"/>
      <c r="G303" s="90"/>
      <c r="H303" s="90"/>
      <c r="I303" s="90"/>
      <c r="J303" s="91" t="s">
        <v>56</v>
      </c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2"/>
      <c r="AG303" s="69" t="s">
        <v>57</v>
      </c>
      <c r="AH303" s="52"/>
      <c r="AI303" s="52"/>
      <c r="AJ303" s="52"/>
      <c r="AK303" s="52"/>
      <c r="AL303" s="52"/>
      <c r="AM303" s="52"/>
      <c r="AN303" s="52"/>
      <c r="AO303" s="52"/>
      <c r="AP303" s="52"/>
      <c r="AQ303" s="66"/>
      <c r="AU303" s="46"/>
      <c r="AV303" s="46"/>
      <c r="AW303" s="46"/>
    </row>
    <row r="304" spans="2:49" ht="13.5" hidden="1" customHeight="1" thickBot="1" x14ac:dyDescent="0.25">
      <c r="B304" s="59"/>
      <c r="C304" s="59"/>
      <c r="D304" s="93" t="s">
        <v>58</v>
      </c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2"/>
      <c r="S304" s="93" t="s">
        <v>59</v>
      </c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2"/>
      <c r="AG304" s="94" t="s">
        <v>60</v>
      </c>
      <c r="AH304" s="95"/>
      <c r="AI304" s="95"/>
      <c r="AJ304" s="95"/>
      <c r="AK304" s="95"/>
      <c r="AL304" s="72"/>
      <c r="AM304" s="96" t="s">
        <v>61</v>
      </c>
      <c r="AN304" s="95"/>
      <c r="AO304" s="95"/>
      <c r="AP304" s="95"/>
      <c r="AQ304" s="72"/>
      <c r="AU304" s="46"/>
      <c r="AV304" s="46"/>
      <c r="AW304" s="46"/>
    </row>
    <row r="305" spans="2:49" ht="17.25" hidden="1" customHeight="1" thickBot="1" x14ac:dyDescent="0.25">
      <c r="B305" s="57"/>
      <c r="C305" s="57"/>
      <c r="D305" s="93" t="s">
        <v>62</v>
      </c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2"/>
      <c r="S305" s="93" t="s">
        <v>6</v>
      </c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2"/>
      <c r="AG305" s="97" t="s">
        <v>63</v>
      </c>
      <c r="AH305" s="58"/>
      <c r="AI305" s="58"/>
      <c r="AJ305" s="58"/>
      <c r="AK305" s="58"/>
      <c r="AL305" s="72"/>
      <c r="AM305" s="98" t="s">
        <v>64</v>
      </c>
      <c r="AN305" s="58"/>
      <c r="AO305" s="58"/>
      <c r="AP305" s="58"/>
      <c r="AQ305" s="72"/>
      <c r="AU305" s="46"/>
      <c r="AV305" s="46"/>
      <c r="AW305" s="46"/>
    </row>
    <row r="306" spans="2:49" ht="17.25" hidden="1" customHeight="1" x14ac:dyDescent="0.2">
      <c r="B306" s="52"/>
      <c r="C306" s="52"/>
      <c r="D306" s="99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99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100"/>
      <c r="AH306" s="52"/>
      <c r="AI306" s="52"/>
      <c r="AJ306" s="52"/>
      <c r="AK306" s="52"/>
      <c r="AL306" s="52"/>
      <c r="AM306" s="101"/>
      <c r="AN306" s="52"/>
      <c r="AO306" s="52"/>
      <c r="AP306" s="52"/>
      <c r="AQ306" s="52"/>
      <c r="AU306" s="46"/>
      <c r="AV306" s="46"/>
      <c r="AW306" s="46"/>
    </row>
    <row r="307" spans="2:49" ht="15.95" hidden="1" customHeight="1" thickBot="1" x14ac:dyDescent="0.25">
      <c r="AU307" s="46"/>
      <c r="AV307" s="46"/>
      <c r="AW307" s="46"/>
    </row>
    <row r="308" spans="2:49" ht="17.25" hidden="1" customHeight="1" x14ac:dyDescent="0.25">
      <c r="B308" s="53"/>
      <c r="C308" s="53"/>
      <c r="D308" s="54" t="s">
        <v>29</v>
      </c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6" t="s">
        <v>73</v>
      </c>
      <c r="Z308" s="55"/>
      <c r="AA308" s="55"/>
      <c r="AB308" s="55"/>
      <c r="AC308" s="55"/>
      <c r="AD308" s="55"/>
      <c r="AE308" s="55"/>
      <c r="AF308" s="55"/>
      <c r="AG308" s="55"/>
      <c r="AH308" s="433" t="s">
        <v>30</v>
      </c>
      <c r="AI308" s="434"/>
      <c r="AJ308" s="434"/>
      <c r="AK308" s="434"/>
      <c r="AL308" s="434"/>
      <c r="AM308" s="435" t="str">
        <f>IF(($AU$9+9)&gt;$AX$9,"",VLOOKUP($AU$9+9,Spielplan,3,0))</f>
        <v/>
      </c>
      <c r="AN308" s="435"/>
      <c r="AO308" s="435"/>
      <c r="AP308" s="435"/>
      <c r="AQ308" s="436"/>
      <c r="AU308" s="46"/>
      <c r="AV308" s="46"/>
      <c r="AW308" s="46"/>
    </row>
    <row r="309" spans="2:49" ht="0.75" hidden="1" customHeight="1" thickBot="1" x14ac:dyDescent="0.25">
      <c r="B309" s="57"/>
      <c r="C309" s="57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9"/>
      <c r="AI309" s="52"/>
      <c r="AJ309" s="52"/>
      <c r="AK309" s="52"/>
      <c r="AL309" s="52"/>
      <c r="AM309" s="60"/>
      <c r="AN309" s="60"/>
      <c r="AO309" s="60"/>
      <c r="AP309" s="60"/>
      <c r="AQ309" s="61"/>
      <c r="AU309" s="46"/>
      <c r="AV309" s="46"/>
      <c r="AW309" s="46"/>
    </row>
    <row r="310" spans="2:49" ht="15" hidden="1" x14ac:dyDescent="0.25">
      <c r="B310" s="53"/>
      <c r="C310" s="62"/>
      <c r="D310" s="53"/>
      <c r="E310" s="63" t="s">
        <v>6</v>
      </c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64"/>
      <c r="S310" s="437" t="s">
        <v>31</v>
      </c>
      <c r="T310" s="438"/>
      <c r="U310" s="438"/>
      <c r="V310" s="438"/>
      <c r="W310" s="438"/>
      <c r="X310" s="438"/>
      <c r="Y310" s="362" t="str">
        <f>IF(($AU$9+9)&gt;$AX$9,"","SHTV")</f>
        <v/>
      </c>
      <c r="Z310" s="362"/>
      <c r="AA310" s="362"/>
      <c r="AB310" s="362"/>
      <c r="AC310" s="362"/>
      <c r="AD310" s="362"/>
      <c r="AE310" s="362"/>
      <c r="AF310" s="362"/>
      <c r="AG310" s="362"/>
      <c r="AH310" s="416" t="s">
        <v>32</v>
      </c>
      <c r="AI310" s="417"/>
      <c r="AJ310" s="417"/>
      <c r="AK310" s="417"/>
      <c r="AL310" s="417"/>
      <c r="AM310" s="420" t="str">
        <f>IF(($AU$9+9)&gt;$AX$9,"",VLOOKUP($AU$9+9,Spielplan,4,0))</f>
        <v/>
      </c>
      <c r="AN310" s="421"/>
      <c r="AO310" s="421"/>
      <c r="AP310" s="421"/>
      <c r="AQ310" s="422"/>
      <c r="AU310" s="46"/>
      <c r="AV310" s="46"/>
      <c r="AW310" s="46"/>
    </row>
    <row r="311" spans="2:49" ht="9.9499999999999993" hidden="1" customHeight="1" x14ac:dyDescent="0.2">
      <c r="B311" s="59"/>
      <c r="C311" s="65"/>
      <c r="D311" s="59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66"/>
      <c r="S311" s="400"/>
      <c r="T311" s="399"/>
      <c r="U311" s="399"/>
      <c r="V311" s="399"/>
      <c r="W311" s="399"/>
      <c r="X311" s="399"/>
      <c r="Y311" s="402"/>
      <c r="Z311" s="402"/>
      <c r="AA311" s="402"/>
      <c r="AB311" s="402"/>
      <c r="AC311" s="402"/>
      <c r="AD311" s="402"/>
      <c r="AE311" s="402"/>
      <c r="AF311" s="402"/>
      <c r="AG311" s="402"/>
      <c r="AH311" s="418"/>
      <c r="AI311" s="419"/>
      <c r="AJ311" s="419"/>
      <c r="AK311" s="419"/>
      <c r="AL311" s="419"/>
      <c r="AM311" s="423"/>
      <c r="AN311" s="423"/>
      <c r="AO311" s="423"/>
      <c r="AP311" s="423"/>
      <c r="AQ311" s="424"/>
      <c r="AU311" s="46"/>
      <c r="AV311" s="46"/>
      <c r="AW311" s="46"/>
    </row>
    <row r="312" spans="2:49" ht="13.15" hidden="1" customHeight="1" x14ac:dyDescent="0.2">
      <c r="B312" s="59"/>
      <c r="C312" s="65"/>
      <c r="D312" s="59"/>
      <c r="E312" s="52" t="s">
        <v>33</v>
      </c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66"/>
      <c r="S312" s="398" t="s">
        <v>34</v>
      </c>
      <c r="T312" s="399"/>
      <c r="U312" s="399"/>
      <c r="V312" s="399"/>
      <c r="W312" s="399"/>
      <c r="X312" s="399"/>
      <c r="Y312" s="402" t="str">
        <f>IF(($AU$9+9)&gt;$AX$9,"",Platzierung!$U$3)</f>
        <v/>
      </c>
      <c r="Z312" s="402"/>
      <c r="AA312" s="402"/>
      <c r="AB312" s="402"/>
      <c r="AC312" s="402"/>
      <c r="AD312" s="402"/>
      <c r="AE312" s="402"/>
      <c r="AF312" s="402"/>
      <c r="AG312" s="402"/>
      <c r="AH312" s="416" t="s">
        <v>35</v>
      </c>
      <c r="AI312" s="417"/>
      <c r="AJ312" s="417"/>
      <c r="AK312" s="417"/>
      <c r="AL312" s="417"/>
      <c r="AM312" s="420" t="str">
        <f>IF(($AU$9+9)&gt;$AX$9,"",VLOOKUP($AU$9+9,Spielplan,6,0))</f>
        <v/>
      </c>
      <c r="AN312" s="421"/>
      <c r="AO312" s="421"/>
      <c r="AP312" s="421"/>
      <c r="AQ312" s="422"/>
      <c r="AU312" s="46"/>
      <c r="AV312" s="46"/>
      <c r="AW312" s="46"/>
    </row>
    <row r="313" spans="2:49" ht="9.9499999999999993" hidden="1" customHeight="1" x14ac:dyDescent="0.2">
      <c r="B313" s="59"/>
      <c r="C313" s="65"/>
      <c r="D313" s="59"/>
      <c r="E313" s="52"/>
      <c r="F313" s="52"/>
      <c r="G313" s="52"/>
      <c r="H313" s="52"/>
      <c r="I313" s="52"/>
      <c r="J313" s="67" t="s">
        <v>36</v>
      </c>
      <c r="K313" s="52"/>
      <c r="L313" s="52"/>
      <c r="M313" s="52"/>
      <c r="N313" s="52"/>
      <c r="O313" s="52"/>
      <c r="P313" s="52"/>
      <c r="Q313" s="52"/>
      <c r="R313" s="66"/>
      <c r="S313" s="400"/>
      <c r="T313" s="399"/>
      <c r="U313" s="399"/>
      <c r="V313" s="399"/>
      <c r="W313" s="399"/>
      <c r="X313" s="399"/>
      <c r="Y313" s="402"/>
      <c r="Z313" s="402"/>
      <c r="AA313" s="402"/>
      <c r="AB313" s="402"/>
      <c r="AC313" s="402"/>
      <c r="AD313" s="402"/>
      <c r="AE313" s="402"/>
      <c r="AF313" s="402"/>
      <c r="AG313" s="402"/>
      <c r="AH313" s="418"/>
      <c r="AI313" s="419"/>
      <c r="AJ313" s="419"/>
      <c r="AK313" s="419"/>
      <c r="AL313" s="419"/>
      <c r="AM313" s="423"/>
      <c r="AN313" s="423"/>
      <c r="AO313" s="423"/>
      <c r="AP313" s="423"/>
      <c r="AQ313" s="424"/>
      <c r="AU313" s="46"/>
      <c r="AV313" s="46"/>
      <c r="AW313" s="46"/>
    </row>
    <row r="314" spans="2:49" ht="15.75" hidden="1" customHeight="1" x14ac:dyDescent="0.2">
      <c r="B314" s="59"/>
      <c r="C314" s="65"/>
      <c r="D314" s="394" t="str">
        <f>IF(($AU$9+9)&gt;$AX$9,"",VLOOKUP($AU$9+9,Spielplan,10,0))</f>
        <v/>
      </c>
      <c r="E314" s="395"/>
      <c r="F314" s="395"/>
      <c r="G314" s="395"/>
      <c r="H314" s="395"/>
      <c r="I314" s="395"/>
      <c r="J314" s="395"/>
      <c r="K314" s="395"/>
      <c r="L314" s="395"/>
      <c r="M314" s="395"/>
      <c r="N314" s="395"/>
      <c r="O314" s="395"/>
      <c r="P314" s="395"/>
      <c r="Q314" s="395"/>
      <c r="R314" s="396"/>
      <c r="S314" s="398" t="s">
        <v>37</v>
      </c>
      <c r="T314" s="399"/>
      <c r="U314" s="399"/>
      <c r="V314" s="399"/>
      <c r="W314" s="399"/>
      <c r="X314" s="399"/>
      <c r="Y314" s="401" t="str">
        <f>IF(($AU$9+9)&gt;$AX$9,"",VLOOKUP($AU$9+9,Spielplan,2,0))</f>
        <v/>
      </c>
      <c r="Z314" s="402"/>
      <c r="AA314" s="402"/>
      <c r="AB314" s="402"/>
      <c r="AC314" s="402"/>
      <c r="AD314" s="402"/>
      <c r="AE314" s="402"/>
      <c r="AF314" s="402"/>
      <c r="AG314" s="402"/>
      <c r="AH314" s="403" t="s">
        <v>38</v>
      </c>
      <c r="AI314" s="399"/>
      <c r="AJ314" s="399"/>
      <c r="AK314" s="399"/>
      <c r="AL314" s="399"/>
      <c r="AM314" s="425" t="str">
        <f>IF(($AU$9+9)&gt;$AX$9,"",VLOOKUP($AU$9+9,Spielplan,5,0))</f>
        <v/>
      </c>
      <c r="AN314" s="426"/>
      <c r="AO314" s="426"/>
      <c r="AP314" s="426"/>
      <c r="AQ314" s="427"/>
      <c r="AU314" s="46"/>
      <c r="AV314" s="46"/>
      <c r="AW314" s="46"/>
    </row>
    <row r="315" spans="2:49" ht="11.1" hidden="1" customHeight="1" thickBot="1" x14ac:dyDescent="0.25">
      <c r="B315" s="59"/>
      <c r="C315" s="65"/>
      <c r="D315" s="397"/>
      <c r="E315" s="395"/>
      <c r="F315" s="395"/>
      <c r="G315" s="395"/>
      <c r="H315" s="395"/>
      <c r="I315" s="395"/>
      <c r="J315" s="395"/>
      <c r="K315" s="395"/>
      <c r="L315" s="395"/>
      <c r="M315" s="395"/>
      <c r="N315" s="395"/>
      <c r="O315" s="395"/>
      <c r="P315" s="395"/>
      <c r="Q315" s="395"/>
      <c r="R315" s="396"/>
      <c r="S315" s="400"/>
      <c r="T315" s="399"/>
      <c r="U315" s="399"/>
      <c r="V315" s="399"/>
      <c r="W315" s="399"/>
      <c r="X315" s="399"/>
      <c r="Y315" s="402"/>
      <c r="Z315" s="402"/>
      <c r="AA315" s="402"/>
      <c r="AB315" s="402"/>
      <c r="AC315" s="402"/>
      <c r="AD315" s="402"/>
      <c r="AE315" s="402"/>
      <c r="AF315" s="402"/>
      <c r="AG315" s="402"/>
      <c r="AH315" s="404"/>
      <c r="AI315" s="405"/>
      <c r="AJ315" s="405"/>
      <c r="AK315" s="405"/>
      <c r="AL315" s="405"/>
      <c r="AM315" s="428"/>
      <c r="AN315" s="428"/>
      <c r="AO315" s="428"/>
      <c r="AP315" s="428"/>
      <c r="AQ315" s="429"/>
      <c r="AU315" s="46"/>
      <c r="AV315" s="46"/>
      <c r="AW315" s="46"/>
    </row>
    <row r="316" spans="2:49" ht="11.1" hidden="1" customHeight="1" thickBot="1" x14ac:dyDescent="0.25">
      <c r="B316" s="59"/>
      <c r="C316" s="65"/>
      <c r="D316" s="57"/>
      <c r="E316" s="58"/>
      <c r="F316" s="58"/>
      <c r="G316" s="58"/>
      <c r="H316" s="58"/>
      <c r="I316" s="58"/>
      <c r="J316" s="58" t="s">
        <v>39</v>
      </c>
      <c r="K316" s="58"/>
      <c r="L316" s="58"/>
      <c r="M316" s="58"/>
      <c r="N316" s="58"/>
      <c r="O316" s="52"/>
      <c r="P316" s="52"/>
      <c r="Q316" s="58"/>
      <c r="R316" s="68"/>
      <c r="S316" s="59"/>
      <c r="T316" s="52"/>
      <c r="U316" s="52"/>
      <c r="V316" s="52"/>
      <c r="W316" s="52"/>
      <c r="X316" s="52"/>
      <c r="Y316" s="430"/>
      <c r="Z316" s="430"/>
      <c r="AA316" s="430"/>
      <c r="AB316" s="430"/>
      <c r="AC316" s="430"/>
      <c r="AD316" s="430"/>
      <c r="AE316" s="430"/>
      <c r="AF316" s="431"/>
      <c r="AG316" s="432"/>
      <c r="AH316" s="69" t="s">
        <v>40</v>
      </c>
      <c r="AI316" s="52"/>
      <c r="AJ316" s="52"/>
      <c r="AK316" s="52"/>
      <c r="AL316" s="52"/>
      <c r="AM316" s="52"/>
      <c r="AN316" s="52"/>
      <c r="AO316" s="70"/>
      <c r="AP316" s="52"/>
      <c r="AQ316" s="66"/>
      <c r="AU316" s="46"/>
      <c r="AV316" s="46"/>
      <c r="AW316" s="46"/>
    </row>
    <row r="317" spans="2:49" ht="13.5" hidden="1" customHeight="1" thickBot="1" x14ac:dyDescent="0.3">
      <c r="B317" s="59"/>
      <c r="C317" s="65"/>
      <c r="D317" s="53"/>
      <c r="E317" s="63" t="s">
        <v>8</v>
      </c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388" t="s">
        <v>41</v>
      </c>
      <c r="R317" s="53"/>
      <c r="S317" s="53"/>
      <c r="T317" s="63" t="s">
        <v>7</v>
      </c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64"/>
      <c r="AF317" s="391" t="s">
        <v>41</v>
      </c>
      <c r="AG317" s="59"/>
      <c r="AH317" s="71" t="s">
        <v>42</v>
      </c>
      <c r="AI317" s="58"/>
      <c r="AJ317" s="58"/>
      <c r="AK317" s="58"/>
      <c r="AL317" s="58"/>
      <c r="AM317" s="58"/>
      <c r="AN317" s="58"/>
      <c r="AO317" s="72"/>
      <c r="AP317" s="52"/>
      <c r="AQ317" s="66"/>
      <c r="AU317" s="46"/>
      <c r="AV317" s="46"/>
      <c r="AW317" s="46"/>
    </row>
    <row r="318" spans="2:49" ht="12" hidden="1" customHeight="1" thickBot="1" x14ac:dyDescent="0.25">
      <c r="B318" s="59"/>
      <c r="C318" s="65"/>
      <c r="D318" s="394" t="str">
        <f>IF(($AU$9+9)&gt;$AX$9,"",VLOOKUP($AU$9+9,Spielplan,7,0))</f>
        <v/>
      </c>
      <c r="E318" s="395"/>
      <c r="F318" s="395"/>
      <c r="G318" s="395"/>
      <c r="H318" s="395"/>
      <c r="I318" s="395"/>
      <c r="J318" s="395"/>
      <c r="K318" s="395"/>
      <c r="L318" s="395"/>
      <c r="M318" s="395"/>
      <c r="N318" s="395"/>
      <c r="O318" s="395"/>
      <c r="P318" s="396"/>
      <c r="Q318" s="389"/>
      <c r="R318" s="59"/>
      <c r="S318" s="394" t="str">
        <f>IF(($AU$9+9)&gt;$AX$9,"",VLOOKUP($AU$9+9,Spielplan,9,0))</f>
        <v/>
      </c>
      <c r="T318" s="395"/>
      <c r="U318" s="395"/>
      <c r="V318" s="395"/>
      <c r="W318" s="395"/>
      <c r="X318" s="395"/>
      <c r="Y318" s="395"/>
      <c r="Z318" s="395"/>
      <c r="AA318" s="395"/>
      <c r="AB318" s="395"/>
      <c r="AC318" s="395"/>
      <c r="AD318" s="395"/>
      <c r="AE318" s="409"/>
      <c r="AF318" s="392"/>
      <c r="AG318" s="59"/>
      <c r="AH318" s="410" t="s">
        <v>43</v>
      </c>
      <c r="AI318" s="411"/>
      <c r="AJ318" s="411"/>
      <c r="AK318" s="411"/>
      <c r="AL318" s="411"/>
      <c r="AM318" s="412"/>
      <c r="AN318" s="73" t="s">
        <v>44</v>
      </c>
      <c r="AO318" s="74"/>
      <c r="AP318" s="74"/>
      <c r="AQ318" s="72"/>
      <c r="AU318" s="46"/>
      <c r="AV318" s="46"/>
      <c r="AW318" s="46"/>
    </row>
    <row r="319" spans="2:49" ht="12" hidden="1" customHeight="1" thickBot="1" x14ac:dyDescent="0.25">
      <c r="B319" s="57"/>
      <c r="C319" s="70"/>
      <c r="D319" s="406"/>
      <c r="E319" s="407"/>
      <c r="F319" s="407"/>
      <c r="G319" s="407"/>
      <c r="H319" s="407"/>
      <c r="I319" s="407"/>
      <c r="J319" s="407"/>
      <c r="K319" s="407"/>
      <c r="L319" s="407"/>
      <c r="M319" s="407"/>
      <c r="N319" s="407"/>
      <c r="O319" s="407"/>
      <c r="P319" s="408"/>
      <c r="Q319" s="390"/>
      <c r="R319" s="57"/>
      <c r="S319" s="406"/>
      <c r="T319" s="407"/>
      <c r="U319" s="407"/>
      <c r="V319" s="407"/>
      <c r="W319" s="407"/>
      <c r="X319" s="407"/>
      <c r="Y319" s="407"/>
      <c r="Z319" s="407"/>
      <c r="AA319" s="407"/>
      <c r="AB319" s="407"/>
      <c r="AC319" s="407"/>
      <c r="AD319" s="407"/>
      <c r="AE319" s="385"/>
      <c r="AF319" s="393"/>
      <c r="AG319" s="57"/>
      <c r="AH319" s="413"/>
      <c r="AI319" s="414"/>
      <c r="AJ319" s="414"/>
      <c r="AK319" s="414"/>
      <c r="AL319" s="414"/>
      <c r="AM319" s="415"/>
      <c r="AN319" s="73" t="s">
        <v>45</v>
      </c>
      <c r="AO319" s="74"/>
      <c r="AP319" s="74"/>
      <c r="AQ319" s="72"/>
      <c r="AU319" s="46"/>
      <c r="AV319" s="46"/>
      <c r="AW319" s="46"/>
    </row>
    <row r="320" spans="2:49" ht="9.9499999999999993" hidden="1" customHeight="1" thickBot="1" x14ac:dyDescent="0.25">
      <c r="B320" s="59"/>
      <c r="C320" s="59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66"/>
      <c r="AU320" s="46"/>
      <c r="AV320" s="46"/>
      <c r="AW320" s="46"/>
    </row>
    <row r="321" spans="2:49" hidden="1" x14ac:dyDescent="0.2">
      <c r="B321" s="53"/>
      <c r="C321" s="62" t="s">
        <v>44</v>
      </c>
      <c r="D321" s="75"/>
      <c r="E321" s="76"/>
      <c r="F321" s="76"/>
      <c r="G321" s="76"/>
      <c r="H321" s="77"/>
      <c r="I321" s="75"/>
      <c r="J321" s="76"/>
      <c r="K321" s="76"/>
      <c r="L321" s="76"/>
      <c r="M321" s="77"/>
      <c r="N321" s="75"/>
      <c r="O321" s="76"/>
      <c r="P321" s="76"/>
      <c r="Q321" s="76"/>
      <c r="R321" s="77"/>
      <c r="S321" s="75"/>
      <c r="T321" s="76"/>
      <c r="U321" s="76"/>
      <c r="V321" s="76"/>
      <c r="W321" s="77"/>
      <c r="X321" s="75"/>
      <c r="Y321" s="76"/>
      <c r="Z321" s="76"/>
      <c r="AA321" s="76"/>
      <c r="AB321" s="77"/>
      <c r="AC321" s="75"/>
      <c r="AD321" s="76"/>
      <c r="AE321" s="76"/>
      <c r="AF321" s="76"/>
      <c r="AG321" s="77"/>
      <c r="AH321" s="75"/>
      <c r="AI321" s="76"/>
      <c r="AJ321" s="76"/>
      <c r="AK321" s="76"/>
      <c r="AL321" s="76"/>
      <c r="AM321" s="188" t="s">
        <v>44</v>
      </c>
      <c r="AN321" s="386"/>
      <c r="AO321" s="386"/>
      <c r="AP321" s="386"/>
      <c r="AQ321" s="387"/>
      <c r="AU321" s="46"/>
      <c r="AV321" s="46"/>
      <c r="AW321" s="46"/>
    </row>
    <row r="322" spans="2:49" ht="13.5" hidden="1" thickBot="1" x14ac:dyDescent="0.25">
      <c r="B322" s="57"/>
      <c r="C322" s="70" t="s">
        <v>45</v>
      </c>
      <c r="D322" s="57"/>
      <c r="E322" s="78"/>
      <c r="F322" s="78"/>
      <c r="G322" s="78"/>
      <c r="H322" s="79"/>
      <c r="I322" s="57"/>
      <c r="J322" s="78"/>
      <c r="K322" s="78"/>
      <c r="L322" s="78"/>
      <c r="M322" s="79"/>
      <c r="N322" s="57"/>
      <c r="O322" s="78"/>
      <c r="P322" s="78"/>
      <c r="Q322" s="78"/>
      <c r="R322" s="79"/>
      <c r="S322" s="57"/>
      <c r="T322" s="78"/>
      <c r="U322" s="78"/>
      <c r="V322" s="78"/>
      <c r="W322" s="79"/>
      <c r="X322" s="57"/>
      <c r="Y322" s="78"/>
      <c r="Z322" s="78"/>
      <c r="AA322" s="78"/>
      <c r="AB322" s="79"/>
      <c r="AC322" s="57"/>
      <c r="AD322" s="78"/>
      <c r="AE322" s="78"/>
      <c r="AF322" s="78"/>
      <c r="AG322" s="79"/>
      <c r="AH322" s="57"/>
      <c r="AI322" s="78"/>
      <c r="AJ322" s="78"/>
      <c r="AK322" s="78"/>
      <c r="AL322" s="78"/>
      <c r="AM322" s="190" t="s">
        <v>45</v>
      </c>
      <c r="AN322" s="323"/>
      <c r="AO322" s="323"/>
      <c r="AP322" s="323"/>
      <c r="AQ322" s="324"/>
      <c r="AU322" s="46"/>
      <c r="AV322" s="46"/>
      <c r="AW322" s="46"/>
    </row>
    <row r="323" spans="2:49" hidden="1" x14ac:dyDescent="0.2">
      <c r="B323" s="53"/>
      <c r="C323" s="62" t="s">
        <v>44</v>
      </c>
      <c r="D323" s="75"/>
      <c r="E323" s="76"/>
      <c r="F323" s="76"/>
      <c r="G323" s="76"/>
      <c r="H323" s="77"/>
      <c r="I323" s="75"/>
      <c r="J323" s="76"/>
      <c r="K323" s="76"/>
      <c r="L323" s="76"/>
      <c r="M323" s="77"/>
      <c r="N323" s="75"/>
      <c r="O323" s="76"/>
      <c r="P323" s="76"/>
      <c r="Q323" s="76"/>
      <c r="R323" s="77"/>
      <c r="S323" s="75"/>
      <c r="T323" s="76"/>
      <c r="U323" s="76"/>
      <c r="V323" s="76"/>
      <c r="W323" s="77"/>
      <c r="X323" s="75"/>
      <c r="Y323" s="76"/>
      <c r="Z323" s="76"/>
      <c r="AA323" s="76"/>
      <c r="AB323" s="77"/>
      <c r="AC323" s="75"/>
      <c r="AD323" s="76"/>
      <c r="AE323" s="76"/>
      <c r="AF323" s="76"/>
      <c r="AG323" s="77"/>
      <c r="AH323" s="75"/>
      <c r="AI323" s="76"/>
      <c r="AJ323" s="76"/>
      <c r="AK323" s="76"/>
      <c r="AL323" s="76"/>
      <c r="AM323" s="188" t="s">
        <v>44</v>
      </c>
      <c r="AN323" s="386"/>
      <c r="AO323" s="386"/>
      <c r="AP323" s="386"/>
      <c r="AQ323" s="387"/>
      <c r="AU323" s="46"/>
      <c r="AV323" s="46"/>
      <c r="AW323" s="46"/>
    </row>
    <row r="324" spans="2:49" ht="13.5" hidden="1" thickBot="1" x14ac:dyDescent="0.25">
      <c r="B324" s="57"/>
      <c r="C324" s="70" t="s">
        <v>45</v>
      </c>
      <c r="D324" s="57"/>
      <c r="E324" s="78"/>
      <c r="F324" s="78"/>
      <c r="G324" s="78"/>
      <c r="H324" s="79"/>
      <c r="I324" s="57"/>
      <c r="J324" s="78"/>
      <c r="K324" s="78"/>
      <c r="L324" s="78"/>
      <c r="M324" s="79"/>
      <c r="N324" s="57"/>
      <c r="O324" s="78"/>
      <c r="P324" s="78"/>
      <c r="Q324" s="78"/>
      <c r="R324" s="79"/>
      <c r="S324" s="57"/>
      <c r="T324" s="78"/>
      <c r="U324" s="78"/>
      <c r="V324" s="78"/>
      <c r="W324" s="79"/>
      <c r="X324" s="57"/>
      <c r="Y324" s="78"/>
      <c r="Z324" s="78"/>
      <c r="AA324" s="78"/>
      <c r="AB324" s="79"/>
      <c r="AC324" s="57"/>
      <c r="AD324" s="78"/>
      <c r="AE324" s="78"/>
      <c r="AF324" s="78"/>
      <c r="AG324" s="79"/>
      <c r="AH324" s="57"/>
      <c r="AI324" s="78"/>
      <c r="AJ324" s="78"/>
      <c r="AK324" s="78"/>
      <c r="AL324" s="78"/>
      <c r="AM324" s="189" t="s">
        <v>45</v>
      </c>
      <c r="AN324" s="338"/>
      <c r="AO324" s="338"/>
      <c r="AP324" s="338"/>
      <c r="AQ324" s="339"/>
      <c r="AU324" s="46"/>
      <c r="AV324" s="46"/>
      <c r="AW324" s="46"/>
    </row>
    <row r="325" spans="2:49" hidden="1" x14ac:dyDescent="0.2">
      <c r="B325" s="53"/>
      <c r="C325" s="62" t="s">
        <v>44</v>
      </c>
      <c r="D325" s="75"/>
      <c r="E325" s="76"/>
      <c r="F325" s="76"/>
      <c r="G325" s="76"/>
      <c r="H325" s="77"/>
      <c r="I325" s="75"/>
      <c r="J325" s="76"/>
      <c r="K325" s="76"/>
      <c r="L325" s="76"/>
      <c r="M325" s="77"/>
      <c r="N325" s="75"/>
      <c r="O325" s="76"/>
      <c r="P325" s="76"/>
      <c r="Q325" s="76"/>
      <c r="R325" s="77"/>
      <c r="S325" s="75"/>
      <c r="T325" s="76"/>
      <c r="U325" s="76"/>
      <c r="V325" s="76"/>
      <c r="W325" s="77"/>
      <c r="X325" s="75"/>
      <c r="Y325" s="76"/>
      <c r="Z325" s="76"/>
      <c r="AA325" s="76"/>
      <c r="AB325" s="77"/>
      <c r="AC325" s="75"/>
      <c r="AD325" s="76"/>
      <c r="AE325" s="76"/>
      <c r="AF325" s="76"/>
      <c r="AG325" s="77"/>
      <c r="AH325" s="75"/>
      <c r="AI325" s="76"/>
      <c r="AJ325" s="76"/>
      <c r="AK325" s="76"/>
      <c r="AL325" s="76"/>
      <c r="AM325" s="188" t="s">
        <v>44</v>
      </c>
      <c r="AN325" s="386"/>
      <c r="AO325" s="386"/>
      <c r="AP325" s="386"/>
      <c r="AQ325" s="387"/>
      <c r="AU325" s="46"/>
      <c r="AV325" s="46"/>
      <c r="AW325" s="46"/>
    </row>
    <row r="326" spans="2:49" ht="13.5" hidden="1" thickBot="1" x14ac:dyDescent="0.25">
      <c r="B326" s="57"/>
      <c r="C326" s="70" t="s">
        <v>45</v>
      </c>
      <c r="D326" s="57"/>
      <c r="E326" s="78"/>
      <c r="F326" s="78"/>
      <c r="G326" s="78"/>
      <c r="H326" s="79"/>
      <c r="I326" s="57"/>
      <c r="J326" s="78"/>
      <c r="K326" s="78"/>
      <c r="L326" s="78"/>
      <c r="M326" s="79"/>
      <c r="N326" s="57"/>
      <c r="O326" s="78"/>
      <c r="P326" s="78"/>
      <c r="Q326" s="78"/>
      <c r="R326" s="79"/>
      <c r="S326" s="57"/>
      <c r="T326" s="78"/>
      <c r="U326" s="78"/>
      <c r="V326" s="78"/>
      <c r="W326" s="79"/>
      <c r="X326" s="57"/>
      <c r="Y326" s="78"/>
      <c r="Z326" s="78"/>
      <c r="AA326" s="78"/>
      <c r="AB326" s="79"/>
      <c r="AC326" s="57"/>
      <c r="AD326" s="78"/>
      <c r="AE326" s="78"/>
      <c r="AF326" s="78"/>
      <c r="AG326" s="79"/>
      <c r="AH326" s="57"/>
      <c r="AI326" s="78"/>
      <c r="AJ326" s="78"/>
      <c r="AK326" s="78"/>
      <c r="AL326" s="78"/>
      <c r="AM326" s="189" t="s">
        <v>45</v>
      </c>
      <c r="AN326" s="338"/>
      <c r="AO326" s="338"/>
      <c r="AP326" s="338"/>
      <c r="AQ326" s="339"/>
      <c r="AU326" s="46"/>
      <c r="AV326" s="46"/>
      <c r="AW326" s="46"/>
    </row>
    <row r="327" spans="2:49" ht="9.9499999999999993" hidden="1" customHeight="1" x14ac:dyDescent="0.2">
      <c r="B327" s="59"/>
      <c r="C327" s="59"/>
      <c r="D327" s="374" t="s">
        <v>46</v>
      </c>
      <c r="E327" s="375"/>
      <c r="F327" s="376"/>
      <c r="G327" s="380" t="s">
        <v>47</v>
      </c>
      <c r="H327" s="381"/>
      <c r="I327" s="381"/>
      <c r="J327" s="381"/>
      <c r="K327" s="381"/>
      <c r="L327" s="381"/>
      <c r="M327" s="381"/>
      <c r="N327" s="381"/>
      <c r="O327" s="382"/>
      <c r="P327" s="359" t="s">
        <v>41</v>
      </c>
      <c r="Q327" s="359" t="s">
        <v>48</v>
      </c>
      <c r="R327" s="52"/>
      <c r="S327" s="374" t="s">
        <v>46</v>
      </c>
      <c r="T327" s="375"/>
      <c r="U327" s="376"/>
      <c r="V327" s="380" t="s">
        <v>47</v>
      </c>
      <c r="W327" s="381"/>
      <c r="X327" s="381"/>
      <c r="Y327" s="381"/>
      <c r="Z327" s="381"/>
      <c r="AA327" s="381"/>
      <c r="AB327" s="381"/>
      <c r="AC327" s="381"/>
      <c r="AD327" s="382"/>
      <c r="AE327" s="359" t="s">
        <v>41</v>
      </c>
      <c r="AF327" s="359" t="s">
        <v>48</v>
      </c>
      <c r="AG327" s="80"/>
      <c r="AH327" s="81"/>
      <c r="AI327" s="81"/>
      <c r="AJ327" s="81"/>
      <c r="AK327" s="81"/>
      <c r="AL327" s="81"/>
      <c r="AM327" s="99"/>
      <c r="AN327" s="373" t="s">
        <v>1</v>
      </c>
      <c r="AO327" s="373"/>
      <c r="AP327" s="373" t="s">
        <v>2</v>
      </c>
      <c r="AQ327" s="373"/>
      <c r="AR327" s="82"/>
      <c r="AU327" s="46"/>
      <c r="AV327" s="46"/>
      <c r="AW327" s="46"/>
    </row>
    <row r="328" spans="2:49" ht="13.5" hidden="1" thickBot="1" x14ac:dyDescent="0.25">
      <c r="B328" s="59"/>
      <c r="C328" s="59"/>
      <c r="D328" s="377"/>
      <c r="E328" s="378"/>
      <c r="F328" s="379"/>
      <c r="G328" s="383"/>
      <c r="H328" s="384"/>
      <c r="I328" s="384"/>
      <c r="J328" s="384"/>
      <c r="K328" s="384"/>
      <c r="L328" s="384"/>
      <c r="M328" s="384"/>
      <c r="N328" s="384"/>
      <c r="O328" s="385"/>
      <c r="P328" s="360"/>
      <c r="Q328" s="360"/>
      <c r="R328" s="52"/>
      <c r="S328" s="377"/>
      <c r="T328" s="378"/>
      <c r="U328" s="379"/>
      <c r="V328" s="383"/>
      <c r="W328" s="384"/>
      <c r="X328" s="384"/>
      <c r="Y328" s="384"/>
      <c r="Z328" s="384"/>
      <c r="AA328" s="384"/>
      <c r="AB328" s="384"/>
      <c r="AC328" s="384"/>
      <c r="AD328" s="385"/>
      <c r="AE328" s="360"/>
      <c r="AF328" s="360"/>
      <c r="AG328" s="83"/>
      <c r="AH328" s="52"/>
      <c r="AI328" s="84" t="s">
        <v>49</v>
      </c>
      <c r="AJ328" s="84"/>
      <c r="AK328" s="84"/>
      <c r="AL328" s="84"/>
      <c r="AM328" s="84"/>
      <c r="AN328" s="84"/>
      <c r="AO328" s="85"/>
      <c r="AP328" s="85"/>
      <c r="AQ328" s="86"/>
      <c r="AR328" s="82"/>
      <c r="AU328" s="46"/>
      <c r="AV328" s="46"/>
      <c r="AW328" s="46"/>
    </row>
    <row r="329" spans="2:49" ht="13.5" hidden="1" customHeight="1" x14ac:dyDescent="0.2">
      <c r="B329" s="59"/>
      <c r="C329" s="59"/>
      <c r="D329" s="198"/>
      <c r="E329" s="191"/>
      <c r="F329" s="192"/>
      <c r="G329" s="193" t="s">
        <v>50</v>
      </c>
      <c r="H329" s="194"/>
      <c r="I329" s="194"/>
      <c r="J329" s="194"/>
      <c r="K329" s="194"/>
      <c r="L329" s="194"/>
      <c r="M329" s="194"/>
      <c r="N329" s="194"/>
      <c r="O329" s="195"/>
      <c r="P329" s="196"/>
      <c r="Q329" s="196"/>
      <c r="R329" s="197"/>
      <c r="S329" s="198"/>
      <c r="T329" s="191"/>
      <c r="U329" s="192"/>
      <c r="V329" s="193" t="s">
        <v>50</v>
      </c>
      <c r="W329" s="194"/>
      <c r="X329" s="194"/>
      <c r="Y329" s="194"/>
      <c r="Z329" s="194"/>
      <c r="AA329" s="194"/>
      <c r="AB329" s="194"/>
      <c r="AC329" s="194"/>
      <c r="AD329" s="195"/>
      <c r="AE329" s="196"/>
      <c r="AF329" s="196"/>
      <c r="AG329" s="361" t="s">
        <v>68</v>
      </c>
      <c r="AH329" s="362"/>
      <c r="AI329" s="362"/>
      <c r="AJ329" s="363"/>
      <c r="AK329" s="367" t="s">
        <v>51</v>
      </c>
      <c r="AL329" s="368"/>
      <c r="AM329" s="368"/>
      <c r="AN329" s="368"/>
      <c r="AO329" s="368"/>
      <c r="AP329" s="368"/>
      <c r="AQ329" s="369"/>
      <c r="AU329" s="46"/>
      <c r="AV329" s="46"/>
      <c r="AW329" s="46"/>
    </row>
    <row r="330" spans="2:49" ht="13.5" hidden="1" customHeight="1" thickBot="1" x14ac:dyDescent="0.25">
      <c r="B330" s="59"/>
      <c r="C330" s="59"/>
      <c r="D330" s="198"/>
      <c r="E330" s="191"/>
      <c r="F330" s="192"/>
      <c r="G330" s="199">
        <v>2</v>
      </c>
      <c r="H330" s="191"/>
      <c r="I330" s="191"/>
      <c r="J330" s="191"/>
      <c r="K330" s="191"/>
      <c r="L330" s="191"/>
      <c r="M330" s="191"/>
      <c r="N330" s="191"/>
      <c r="O330" s="192"/>
      <c r="P330" s="196"/>
      <c r="Q330" s="196"/>
      <c r="R330" s="197"/>
      <c r="S330" s="198"/>
      <c r="T330" s="191"/>
      <c r="U330" s="192"/>
      <c r="V330" s="199">
        <v>2</v>
      </c>
      <c r="W330" s="191"/>
      <c r="X330" s="191"/>
      <c r="Y330" s="191"/>
      <c r="Z330" s="191"/>
      <c r="AA330" s="191"/>
      <c r="AB330" s="191"/>
      <c r="AC330" s="191"/>
      <c r="AD330" s="192"/>
      <c r="AE330" s="196"/>
      <c r="AF330" s="196"/>
      <c r="AG330" s="364"/>
      <c r="AH330" s="365"/>
      <c r="AI330" s="365"/>
      <c r="AJ330" s="366"/>
      <c r="AK330" s="370"/>
      <c r="AL330" s="371"/>
      <c r="AM330" s="371"/>
      <c r="AN330" s="371"/>
      <c r="AO330" s="371"/>
      <c r="AP330" s="371"/>
      <c r="AQ330" s="372"/>
      <c r="AU330" s="46"/>
      <c r="AV330" s="46"/>
      <c r="AW330" s="46"/>
    </row>
    <row r="331" spans="2:49" ht="13.5" hidden="1" customHeight="1" x14ac:dyDescent="0.2">
      <c r="B331" s="59"/>
      <c r="C331" s="59"/>
      <c r="D331" s="198"/>
      <c r="E331" s="191"/>
      <c r="F331" s="192"/>
      <c r="G331" s="199">
        <v>3</v>
      </c>
      <c r="H331" s="191"/>
      <c r="I331" s="191"/>
      <c r="J331" s="191"/>
      <c r="K331" s="191"/>
      <c r="L331" s="191"/>
      <c r="M331" s="191"/>
      <c r="N331" s="191"/>
      <c r="O331" s="192"/>
      <c r="P331" s="196"/>
      <c r="Q331" s="196"/>
      <c r="R331" s="197"/>
      <c r="S331" s="198"/>
      <c r="T331" s="191"/>
      <c r="U331" s="192"/>
      <c r="V331" s="199">
        <v>3</v>
      </c>
      <c r="W331" s="191"/>
      <c r="X331" s="191"/>
      <c r="Y331" s="191"/>
      <c r="Z331" s="191"/>
      <c r="AA331" s="191"/>
      <c r="AB331" s="191"/>
      <c r="AC331" s="191"/>
      <c r="AD331" s="192"/>
      <c r="AE331" s="196"/>
      <c r="AF331" s="196"/>
      <c r="AG331" s="361" t="s">
        <v>2</v>
      </c>
      <c r="AH331" s="362"/>
      <c r="AI331" s="362"/>
      <c r="AJ331" s="363"/>
      <c r="AK331" s="367" t="s">
        <v>51</v>
      </c>
      <c r="AL331" s="368"/>
      <c r="AM331" s="368"/>
      <c r="AN331" s="368"/>
      <c r="AO331" s="368"/>
      <c r="AP331" s="368"/>
      <c r="AQ331" s="369"/>
      <c r="AU331" s="46"/>
      <c r="AV331" s="46"/>
      <c r="AW331" s="46"/>
    </row>
    <row r="332" spans="2:49" ht="13.5" hidden="1" customHeight="1" thickBot="1" x14ac:dyDescent="0.25">
      <c r="B332" s="59"/>
      <c r="C332" s="59"/>
      <c r="D332" s="198"/>
      <c r="E332" s="191"/>
      <c r="F332" s="192"/>
      <c r="G332" s="199">
        <v>4</v>
      </c>
      <c r="H332" s="191"/>
      <c r="I332" s="191"/>
      <c r="J332" s="191"/>
      <c r="K332" s="191"/>
      <c r="L332" s="191"/>
      <c r="M332" s="191"/>
      <c r="N332" s="191"/>
      <c r="O332" s="192"/>
      <c r="P332" s="196"/>
      <c r="Q332" s="196"/>
      <c r="R332" s="197"/>
      <c r="S332" s="198"/>
      <c r="T332" s="191"/>
      <c r="U332" s="192"/>
      <c r="V332" s="199">
        <v>4</v>
      </c>
      <c r="W332" s="191"/>
      <c r="X332" s="191"/>
      <c r="Y332" s="191"/>
      <c r="Z332" s="191"/>
      <c r="AA332" s="191"/>
      <c r="AB332" s="191"/>
      <c r="AC332" s="191"/>
      <c r="AD332" s="192"/>
      <c r="AE332" s="196"/>
      <c r="AF332" s="196"/>
      <c r="AG332" s="364"/>
      <c r="AH332" s="365"/>
      <c r="AI332" s="365"/>
      <c r="AJ332" s="366"/>
      <c r="AK332" s="370"/>
      <c r="AL332" s="371"/>
      <c r="AM332" s="371"/>
      <c r="AN332" s="371"/>
      <c r="AO332" s="371"/>
      <c r="AP332" s="371"/>
      <c r="AQ332" s="372"/>
      <c r="AU332" s="46"/>
      <c r="AV332" s="46"/>
      <c r="AW332" s="46"/>
    </row>
    <row r="333" spans="2:49" ht="13.5" hidden="1" customHeight="1" x14ac:dyDescent="0.2">
      <c r="B333" s="59"/>
      <c r="C333" s="59"/>
      <c r="D333" s="198"/>
      <c r="E333" s="191"/>
      <c r="F333" s="192"/>
      <c r="G333" s="199">
        <v>5</v>
      </c>
      <c r="H333" s="191"/>
      <c r="I333" s="191"/>
      <c r="J333" s="191"/>
      <c r="K333" s="191"/>
      <c r="L333" s="191"/>
      <c r="M333" s="191"/>
      <c r="N333" s="191"/>
      <c r="O333" s="192"/>
      <c r="P333" s="196"/>
      <c r="Q333" s="196"/>
      <c r="R333" s="197"/>
      <c r="S333" s="198"/>
      <c r="T333" s="191"/>
      <c r="U333" s="192"/>
      <c r="V333" s="199">
        <v>5</v>
      </c>
      <c r="W333" s="191"/>
      <c r="X333" s="191"/>
      <c r="Y333" s="191"/>
      <c r="Z333" s="191"/>
      <c r="AA333" s="191"/>
      <c r="AB333" s="191"/>
      <c r="AC333" s="191"/>
      <c r="AD333" s="192"/>
      <c r="AE333" s="196"/>
      <c r="AF333" s="196"/>
      <c r="AG333" s="87" t="s">
        <v>52</v>
      </c>
      <c r="AH333" s="55"/>
      <c r="AI333" s="55"/>
      <c r="AJ333" s="55"/>
      <c r="AK333" s="55"/>
      <c r="AL333" s="55"/>
      <c r="AM333" s="55"/>
      <c r="AN333" s="55"/>
      <c r="AO333" s="55" t="s">
        <v>53</v>
      </c>
      <c r="AP333" s="55"/>
      <c r="AQ333" s="64"/>
      <c r="AU333" s="46"/>
      <c r="AV333" s="46"/>
      <c r="AW333" s="46"/>
    </row>
    <row r="334" spans="2:49" ht="13.5" hidden="1" customHeight="1" x14ac:dyDescent="0.2">
      <c r="B334" s="59"/>
      <c r="C334" s="59"/>
      <c r="D334" s="198"/>
      <c r="E334" s="191"/>
      <c r="F334" s="192"/>
      <c r="G334" s="199">
        <v>6</v>
      </c>
      <c r="H334" s="191"/>
      <c r="I334" s="191"/>
      <c r="J334" s="191"/>
      <c r="K334" s="191"/>
      <c r="L334" s="191"/>
      <c r="M334" s="191"/>
      <c r="N334" s="191"/>
      <c r="O334" s="192"/>
      <c r="P334" s="196"/>
      <c r="Q334" s="196"/>
      <c r="R334" s="197"/>
      <c r="S334" s="198"/>
      <c r="T334" s="191"/>
      <c r="U334" s="192"/>
      <c r="V334" s="199">
        <v>6</v>
      </c>
      <c r="W334" s="191"/>
      <c r="X334" s="191"/>
      <c r="Y334" s="191"/>
      <c r="Z334" s="191"/>
      <c r="AA334" s="191"/>
      <c r="AB334" s="191"/>
      <c r="AC334" s="191"/>
      <c r="AD334" s="192"/>
      <c r="AE334" s="196"/>
      <c r="AF334" s="196"/>
      <c r="AG334" s="88"/>
      <c r="AH334" s="52"/>
      <c r="AI334" s="52"/>
      <c r="AJ334" s="52"/>
      <c r="AK334" s="52"/>
      <c r="AL334" s="52"/>
      <c r="AM334" s="52"/>
      <c r="AN334" s="52"/>
      <c r="AO334" s="52"/>
      <c r="AP334" s="52"/>
      <c r="AQ334" s="66"/>
      <c r="AU334" s="46"/>
      <c r="AV334" s="46"/>
      <c r="AW334" s="46"/>
    </row>
    <row r="335" spans="2:49" ht="13.5" hidden="1" customHeight="1" thickBot="1" x14ac:dyDescent="0.25">
      <c r="B335" s="59"/>
      <c r="C335" s="59"/>
      <c r="D335" s="198"/>
      <c r="E335" s="191"/>
      <c r="F335" s="192"/>
      <c r="G335" s="199">
        <v>7</v>
      </c>
      <c r="H335" s="191"/>
      <c r="I335" s="191"/>
      <c r="J335" s="191"/>
      <c r="K335" s="191"/>
      <c r="L335" s="191"/>
      <c r="M335" s="191"/>
      <c r="N335" s="191"/>
      <c r="O335" s="192"/>
      <c r="P335" s="196"/>
      <c r="Q335" s="196"/>
      <c r="R335" s="197"/>
      <c r="S335" s="198"/>
      <c r="T335" s="191"/>
      <c r="U335" s="192"/>
      <c r="V335" s="199">
        <v>7</v>
      </c>
      <c r="W335" s="191"/>
      <c r="X335" s="191"/>
      <c r="Y335" s="191"/>
      <c r="Z335" s="191"/>
      <c r="AA335" s="191"/>
      <c r="AB335" s="191"/>
      <c r="AC335" s="191"/>
      <c r="AD335" s="192"/>
      <c r="AE335" s="196"/>
      <c r="AF335" s="196"/>
      <c r="AG335" s="59" t="s">
        <v>54</v>
      </c>
      <c r="AH335" s="52"/>
      <c r="AI335" s="52"/>
      <c r="AJ335" s="52"/>
      <c r="AK335" s="52"/>
      <c r="AL335" s="52"/>
      <c r="AM335" s="52"/>
      <c r="AN335" s="52"/>
      <c r="AO335" s="52"/>
      <c r="AP335" s="52"/>
      <c r="AQ335" s="66"/>
      <c r="AU335" s="46"/>
      <c r="AV335" s="46"/>
      <c r="AW335" s="46"/>
    </row>
    <row r="336" spans="2:49" ht="13.5" hidden="1" customHeight="1" thickBot="1" x14ac:dyDescent="0.25">
      <c r="B336" s="59"/>
      <c r="C336" s="59"/>
      <c r="D336" s="204"/>
      <c r="E336" s="200"/>
      <c r="F336" s="201"/>
      <c r="G336" s="202">
        <v>8</v>
      </c>
      <c r="H336" s="200"/>
      <c r="I336" s="200"/>
      <c r="J336" s="200"/>
      <c r="K336" s="200"/>
      <c r="L336" s="200"/>
      <c r="M336" s="200"/>
      <c r="N336" s="200"/>
      <c r="O336" s="201"/>
      <c r="P336" s="203"/>
      <c r="Q336" s="203"/>
      <c r="R336" s="197"/>
      <c r="S336" s="204"/>
      <c r="T336" s="200"/>
      <c r="U336" s="201"/>
      <c r="V336" s="202">
        <v>8</v>
      </c>
      <c r="W336" s="200"/>
      <c r="X336" s="200"/>
      <c r="Y336" s="200"/>
      <c r="Z336" s="200"/>
      <c r="AA336" s="200"/>
      <c r="AB336" s="200"/>
      <c r="AC336" s="200"/>
      <c r="AD336" s="201"/>
      <c r="AE336" s="203"/>
      <c r="AF336" s="203"/>
      <c r="AG336" s="89" t="s">
        <v>55</v>
      </c>
      <c r="AH336" s="55"/>
      <c r="AI336" s="55"/>
      <c r="AJ336" s="55"/>
      <c r="AK336" s="55"/>
      <c r="AL336" s="55"/>
      <c r="AM336" s="55"/>
      <c r="AN336" s="55"/>
      <c r="AO336" s="55"/>
      <c r="AP336" s="55"/>
      <c r="AQ336" s="64"/>
      <c r="AU336" s="46"/>
      <c r="AV336" s="46"/>
      <c r="AW336" s="46"/>
    </row>
    <row r="337" spans="2:49" ht="13.5" hidden="1" customHeight="1" thickBot="1" x14ac:dyDescent="0.25">
      <c r="B337" s="59"/>
      <c r="C337" s="59"/>
      <c r="D337" s="74"/>
      <c r="E337" s="90"/>
      <c r="F337" s="90"/>
      <c r="G337" s="90"/>
      <c r="H337" s="90"/>
      <c r="I337" s="90"/>
      <c r="J337" s="91" t="s">
        <v>56</v>
      </c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2"/>
      <c r="AG337" s="69" t="s">
        <v>57</v>
      </c>
      <c r="AH337" s="52"/>
      <c r="AI337" s="52"/>
      <c r="AJ337" s="52"/>
      <c r="AK337" s="52"/>
      <c r="AL337" s="52"/>
      <c r="AM337" s="52"/>
      <c r="AN337" s="52"/>
      <c r="AO337" s="52"/>
      <c r="AP337" s="52"/>
      <c r="AQ337" s="66"/>
      <c r="AU337" s="46"/>
      <c r="AV337" s="46"/>
      <c r="AW337" s="46"/>
    </row>
    <row r="338" spans="2:49" ht="13.5" hidden="1" customHeight="1" thickBot="1" x14ac:dyDescent="0.25">
      <c r="B338" s="59"/>
      <c r="C338" s="59"/>
      <c r="D338" s="93" t="s">
        <v>58</v>
      </c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2"/>
      <c r="S338" s="93" t="s">
        <v>59</v>
      </c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2"/>
      <c r="AG338" s="94" t="s">
        <v>60</v>
      </c>
      <c r="AH338" s="95"/>
      <c r="AI338" s="95"/>
      <c r="AJ338" s="95"/>
      <c r="AK338" s="95"/>
      <c r="AL338" s="72"/>
      <c r="AM338" s="96" t="s">
        <v>61</v>
      </c>
      <c r="AN338" s="95"/>
      <c r="AO338" s="95"/>
      <c r="AP338" s="95"/>
      <c r="AQ338" s="72"/>
      <c r="AU338" s="46"/>
      <c r="AV338" s="46"/>
      <c r="AW338" s="46"/>
    </row>
    <row r="339" spans="2:49" ht="17.25" hidden="1" customHeight="1" thickBot="1" x14ac:dyDescent="0.25">
      <c r="B339" s="57"/>
      <c r="C339" s="57"/>
      <c r="D339" s="93" t="s">
        <v>62</v>
      </c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2"/>
      <c r="S339" s="93" t="s">
        <v>6</v>
      </c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2"/>
      <c r="AG339" s="97" t="s">
        <v>63</v>
      </c>
      <c r="AH339" s="58"/>
      <c r="AI339" s="58"/>
      <c r="AJ339" s="58"/>
      <c r="AK339" s="58"/>
      <c r="AL339" s="72"/>
      <c r="AM339" s="98" t="s">
        <v>64</v>
      </c>
      <c r="AN339" s="58"/>
      <c r="AO339" s="58"/>
      <c r="AP339" s="58"/>
      <c r="AQ339" s="72"/>
      <c r="AU339" s="46"/>
      <c r="AV339" s="46"/>
      <c r="AW339" s="46"/>
    </row>
    <row r="340" spans="2:49" hidden="1" x14ac:dyDescent="0.2">
      <c r="AU340" s="46"/>
      <c r="AV340" s="46"/>
      <c r="AW340" s="46"/>
    </row>
    <row r="341" spans="2:49" ht="15.75" hidden="1" customHeight="1" thickBot="1" x14ac:dyDescent="0.25">
      <c r="AA341" s="52"/>
      <c r="AB341" s="52"/>
      <c r="AC341" s="52"/>
      <c r="AD341" s="52"/>
      <c r="AE341" s="52"/>
      <c r="AF341" s="52"/>
      <c r="AG341" s="52"/>
      <c r="AH341" s="52"/>
      <c r="AU341" s="46"/>
      <c r="AV341" s="46"/>
      <c r="AW341" s="46"/>
    </row>
    <row r="342" spans="2:49" ht="17.25" hidden="1" customHeight="1" x14ac:dyDescent="0.25">
      <c r="B342" s="53"/>
      <c r="C342" s="53"/>
      <c r="D342" s="54" t="s">
        <v>29</v>
      </c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6" t="s">
        <v>73</v>
      </c>
      <c r="Z342" s="55"/>
      <c r="AA342" s="55"/>
      <c r="AB342" s="55"/>
      <c r="AC342" s="55"/>
      <c r="AD342" s="55"/>
      <c r="AE342" s="55"/>
      <c r="AF342" s="55"/>
      <c r="AG342" s="55"/>
      <c r="AH342" s="433" t="s">
        <v>30</v>
      </c>
      <c r="AI342" s="434"/>
      <c r="AJ342" s="434"/>
      <c r="AK342" s="434"/>
      <c r="AL342" s="434"/>
      <c r="AM342" s="435" t="str">
        <f>IF(($AU$9+10)&gt;$AX$9,"",VLOOKUP($AU$9+10,Spielplan,3,0))</f>
        <v/>
      </c>
      <c r="AN342" s="435"/>
      <c r="AO342" s="435"/>
      <c r="AP342" s="435"/>
      <c r="AQ342" s="436"/>
      <c r="AU342" s="46"/>
      <c r="AV342" s="46"/>
      <c r="AW342" s="46"/>
    </row>
    <row r="343" spans="2:49" ht="0.75" hidden="1" customHeight="1" thickBot="1" x14ac:dyDescent="0.25">
      <c r="B343" s="57"/>
      <c r="C343" s="57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9"/>
      <c r="AI343" s="52"/>
      <c r="AJ343" s="52"/>
      <c r="AK343" s="52"/>
      <c r="AL343" s="52"/>
      <c r="AM343" s="60"/>
      <c r="AN343" s="60"/>
      <c r="AO343" s="60"/>
      <c r="AP343" s="60"/>
      <c r="AQ343" s="61"/>
      <c r="AU343" s="46"/>
      <c r="AV343" s="46"/>
      <c r="AW343" s="46"/>
    </row>
    <row r="344" spans="2:49" ht="15" hidden="1" x14ac:dyDescent="0.25">
      <c r="B344" s="53"/>
      <c r="C344" s="62"/>
      <c r="D344" s="53"/>
      <c r="E344" s="63" t="s">
        <v>6</v>
      </c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64"/>
      <c r="S344" s="437" t="s">
        <v>31</v>
      </c>
      <c r="T344" s="438"/>
      <c r="U344" s="438"/>
      <c r="V344" s="438"/>
      <c r="W344" s="438"/>
      <c r="X344" s="438"/>
      <c r="Y344" s="362" t="str">
        <f>IF(($AU$9+10)&gt;$AX$9,"","SHTV")</f>
        <v/>
      </c>
      <c r="Z344" s="362"/>
      <c r="AA344" s="362"/>
      <c r="AB344" s="362"/>
      <c r="AC344" s="362"/>
      <c r="AD344" s="362"/>
      <c r="AE344" s="362"/>
      <c r="AF344" s="362"/>
      <c r="AG344" s="362"/>
      <c r="AH344" s="416" t="s">
        <v>32</v>
      </c>
      <c r="AI344" s="417"/>
      <c r="AJ344" s="417"/>
      <c r="AK344" s="417"/>
      <c r="AL344" s="417"/>
      <c r="AM344" s="420" t="str">
        <f>IF(($AU$9+10)&gt;$AX$9,"",VLOOKUP($AU$9+10,Spielplan,4,0))</f>
        <v/>
      </c>
      <c r="AN344" s="421"/>
      <c r="AO344" s="421"/>
      <c r="AP344" s="421"/>
      <c r="AQ344" s="422"/>
      <c r="AU344" s="46"/>
      <c r="AV344" s="46"/>
      <c r="AW344" s="46"/>
    </row>
    <row r="345" spans="2:49" ht="9.9499999999999993" hidden="1" customHeight="1" x14ac:dyDescent="0.2">
      <c r="B345" s="59"/>
      <c r="C345" s="65"/>
      <c r="D345" s="59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66"/>
      <c r="S345" s="400"/>
      <c r="T345" s="399"/>
      <c r="U345" s="399"/>
      <c r="V345" s="399"/>
      <c r="W345" s="399"/>
      <c r="X345" s="399"/>
      <c r="Y345" s="402"/>
      <c r="Z345" s="402"/>
      <c r="AA345" s="402"/>
      <c r="AB345" s="402"/>
      <c r="AC345" s="402"/>
      <c r="AD345" s="402"/>
      <c r="AE345" s="402"/>
      <c r="AF345" s="402"/>
      <c r="AG345" s="402"/>
      <c r="AH345" s="418"/>
      <c r="AI345" s="419"/>
      <c r="AJ345" s="419"/>
      <c r="AK345" s="419"/>
      <c r="AL345" s="419"/>
      <c r="AM345" s="423"/>
      <c r="AN345" s="423"/>
      <c r="AO345" s="423"/>
      <c r="AP345" s="423"/>
      <c r="AQ345" s="424"/>
      <c r="AU345" s="46"/>
      <c r="AV345" s="46"/>
      <c r="AW345" s="46"/>
    </row>
    <row r="346" spans="2:49" ht="13.15" hidden="1" customHeight="1" x14ac:dyDescent="0.2">
      <c r="B346" s="59"/>
      <c r="C346" s="65"/>
      <c r="D346" s="59"/>
      <c r="E346" s="52" t="s">
        <v>33</v>
      </c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66"/>
      <c r="S346" s="398" t="s">
        <v>34</v>
      </c>
      <c r="T346" s="399"/>
      <c r="U346" s="399"/>
      <c r="V346" s="399"/>
      <c r="W346" s="399"/>
      <c r="X346" s="399"/>
      <c r="Y346" s="402" t="str">
        <f>IF(($AU$9+10)&gt;$AX$9,"",Platzierung!$U$3)</f>
        <v/>
      </c>
      <c r="Z346" s="402"/>
      <c r="AA346" s="402"/>
      <c r="AB346" s="402"/>
      <c r="AC346" s="402"/>
      <c r="AD346" s="402"/>
      <c r="AE346" s="402"/>
      <c r="AF346" s="402"/>
      <c r="AG346" s="402"/>
      <c r="AH346" s="416" t="s">
        <v>35</v>
      </c>
      <c r="AI346" s="417"/>
      <c r="AJ346" s="417"/>
      <c r="AK346" s="417"/>
      <c r="AL346" s="417"/>
      <c r="AM346" s="420" t="str">
        <f>IF(($AU$9+10)&gt;$AX$9,"",VLOOKUP($AU$9+10,Spielplan,6,0))</f>
        <v/>
      </c>
      <c r="AN346" s="421"/>
      <c r="AO346" s="421"/>
      <c r="AP346" s="421"/>
      <c r="AQ346" s="422"/>
      <c r="AU346" s="46"/>
      <c r="AV346" s="46"/>
      <c r="AW346" s="46"/>
    </row>
    <row r="347" spans="2:49" ht="9.9499999999999993" hidden="1" customHeight="1" x14ac:dyDescent="0.2">
      <c r="B347" s="59"/>
      <c r="C347" s="65"/>
      <c r="D347" s="59"/>
      <c r="E347" s="52"/>
      <c r="F347" s="52"/>
      <c r="G347" s="52"/>
      <c r="H347" s="52"/>
      <c r="I347" s="52"/>
      <c r="J347" s="67" t="s">
        <v>36</v>
      </c>
      <c r="K347" s="52"/>
      <c r="L347" s="52"/>
      <c r="M347" s="52"/>
      <c r="N347" s="52"/>
      <c r="O347" s="52"/>
      <c r="P347" s="52"/>
      <c r="Q347" s="52"/>
      <c r="R347" s="66"/>
      <c r="S347" s="400"/>
      <c r="T347" s="399"/>
      <c r="U347" s="399"/>
      <c r="V347" s="399"/>
      <c r="W347" s="399"/>
      <c r="X347" s="399"/>
      <c r="Y347" s="402"/>
      <c r="Z347" s="402"/>
      <c r="AA347" s="402"/>
      <c r="AB347" s="402"/>
      <c r="AC347" s="402"/>
      <c r="AD347" s="402"/>
      <c r="AE347" s="402"/>
      <c r="AF347" s="402"/>
      <c r="AG347" s="402"/>
      <c r="AH347" s="418"/>
      <c r="AI347" s="419"/>
      <c r="AJ347" s="419"/>
      <c r="AK347" s="419"/>
      <c r="AL347" s="419"/>
      <c r="AM347" s="423"/>
      <c r="AN347" s="423"/>
      <c r="AO347" s="423"/>
      <c r="AP347" s="423"/>
      <c r="AQ347" s="424"/>
      <c r="AU347" s="46"/>
      <c r="AV347" s="46"/>
      <c r="AW347" s="46"/>
    </row>
    <row r="348" spans="2:49" ht="15.75" hidden="1" customHeight="1" x14ac:dyDescent="0.2">
      <c r="B348" s="59"/>
      <c r="C348" s="65"/>
      <c r="D348" s="394" t="str">
        <f>IF(($AU$9+10)&gt;$AX$9,"",VLOOKUP($AU$9+10,Spielplan,10,0))</f>
        <v/>
      </c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5"/>
      <c r="Q348" s="395"/>
      <c r="R348" s="396"/>
      <c r="S348" s="398" t="s">
        <v>37</v>
      </c>
      <c r="T348" s="399"/>
      <c r="U348" s="399"/>
      <c r="V348" s="399"/>
      <c r="W348" s="399"/>
      <c r="X348" s="399"/>
      <c r="Y348" s="401" t="str">
        <f>IF(($AU$9+10)&gt;$AX$9,"",VLOOKUP($AU$9+10,Spielplan,2,0))</f>
        <v/>
      </c>
      <c r="Z348" s="402"/>
      <c r="AA348" s="402"/>
      <c r="AB348" s="402"/>
      <c r="AC348" s="402"/>
      <c r="AD348" s="402"/>
      <c r="AE348" s="402"/>
      <c r="AF348" s="402"/>
      <c r="AG348" s="402"/>
      <c r="AH348" s="403" t="s">
        <v>38</v>
      </c>
      <c r="AI348" s="399"/>
      <c r="AJ348" s="399"/>
      <c r="AK348" s="399"/>
      <c r="AL348" s="399"/>
      <c r="AM348" s="425" t="str">
        <f>IF(($AU$9+10)&gt;$AX$9,"",VLOOKUP($AU$9+10,Spielplan,5,0))</f>
        <v/>
      </c>
      <c r="AN348" s="426"/>
      <c r="AO348" s="426"/>
      <c r="AP348" s="426"/>
      <c r="AQ348" s="427"/>
      <c r="AU348" s="46"/>
      <c r="AV348" s="46"/>
      <c r="AW348" s="46"/>
    </row>
    <row r="349" spans="2:49" ht="11.1" hidden="1" customHeight="1" thickBot="1" x14ac:dyDescent="0.25">
      <c r="B349" s="59"/>
      <c r="C349" s="65"/>
      <c r="D349" s="397"/>
      <c r="E349" s="395"/>
      <c r="F349" s="395"/>
      <c r="G349" s="395"/>
      <c r="H349" s="395"/>
      <c r="I349" s="395"/>
      <c r="J349" s="395"/>
      <c r="K349" s="395"/>
      <c r="L349" s="395"/>
      <c r="M349" s="395"/>
      <c r="N349" s="395"/>
      <c r="O349" s="395"/>
      <c r="P349" s="395"/>
      <c r="Q349" s="395"/>
      <c r="R349" s="396"/>
      <c r="S349" s="400"/>
      <c r="T349" s="399"/>
      <c r="U349" s="399"/>
      <c r="V349" s="399"/>
      <c r="W349" s="399"/>
      <c r="X349" s="399"/>
      <c r="Y349" s="402"/>
      <c r="Z349" s="402"/>
      <c r="AA349" s="402"/>
      <c r="AB349" s="402"/>
      <c r="AC349" s="402"/>
      <c r="AD349" s="402"/>
      <c r="AE349" s="402"/>
      <c r="AF349" s="402"/>
      <c r="AG349" s="402"/>
      <c r="AH349" s="404"/>
      <c r="AI349" s="405"/>
      <c r="AJ349" s="405"/>
      <c r="AK349" s="405"/>
      <c r="AL349" s="405"/>
      <c r="AM349" s="428"/>
      <c r="AN349" s="428"/>
      <c r="AO349" s="428"/>
      <c r="AP349" s="428"/>
      <c r="AQ349" s="429"/>
      <c r="AU349" s="46"/>
      <c r="AV349" s="46"/>
      <c r="AW349" s="46"/>
    </row>
    <row r="350" spans="2:49" ht="11.1" hidden="1" customHeight="1" thickBot="1" x14ac:dyDescent="0.25">
      <c r="B350" s="59"/>
      <c r="C350" s="65"/>
      <c r="D350" s="57"/>
      <c r="E350" s="58"/>
      <c r="F350" s="58"/>
      <c r="G350" s="58"/>
      <c r="H350" s="58"/>
      <c r="I350" s="58"/>
      <c r="J350" s="58" t="s">
        <v>39</v>
      </c>
      <c r="K350" s="58"/>
      <c r="L350" s="58"/>
      <c r="M350" s="58"/>
      <c r="N350" s="58"/>
      <c r="O350" s="52"/>
      <c r="P350" s="52"/>
      <c r="Q350" s="58"/>
      <c r="R350" s="68"/>
      <c r="S350" s="59"/>
      <c r="T350" s="52"/>
      <c r="U350" s="52"/>
      <c r="V350" s="52"/>
      <c r="W350" s="52"/>
      <c r="X350" s="52"/>
      <c r="Y350" s="430"/>
      <c r="Z350" s="430"/>
      <c r="AA350" s="430"/>
      <c r="AB350" s="430"/>
      <c r="AC350" s="430"/>
      <c r="AD350" s="430"/>
      <c r="AE350" s="430"/>
      <c r="AF350" s="431"/>
      <c r="AG350" s="432"/>
      <c r="AH350" s="69" t="s">
        <v>40</v>
      </c>
      <c r="AI350" s="52"/>
      <c r="AJ350" s="52"/>
      <c r="AK350" s="52"/>
      <c r="AL350" s="52"/>
      <c r="AM350" s="52"/>
      <c r="AN350" s="52"/>
      <c r="AO350" s="70"/>
      <c r="AP350" s="52"/>
      <c r="AQ350" s="66"/>
      <c r="AU350" s="46"/>
      <c r="AV350" s="46"/>
      <c r="AW350" s="46"/>
    </row>
    <row r="351" spans="2:49" ht="13.5" hidden="1" customHeight="1" thickBot="1" x14ac:dyDescent="0.3">
      <c r="B351" s="59"/>
      <c r="C351" s="65"/>
      <c r="D351" s="53"/>
      <c r="E351" s="63" t="s">
        <v>8</v>
      </c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388" t="s">
        <v>41</v>
      </c>
      <c r="R351" s="53"/>
      <c r="S351" s="53"/>
      <c r="T351" s="63" t="s">
        <v>7</v>
      </c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64"/>
      <c r="AF351" s="391" t="s">
        <v>41</v>
      </c>
      <c r="AG351" s="59"/>
      <c r="AH351" s="71" t="s">
        <v>42</v>
      </c>
      <c r="AI351" s="58"/>
      <c r="AJ351" s="58"/>
      <c r="AK351" s="58"/>
      <c r="AL351" s="58"/>
      <c r="AM351" s="58"/>
      <c r="AN351" s="58"/>
      <c r="AO351" s="72"/>
      <c r="AP351" s="52"/>
      <c r="AQ351" s="66"/>
      <c r="AU351" s="46"/>
      <c r="AV351" s="46"/>
      <c r="AW351" s="46"/>
    </row>
    <row r="352" spans="2:49" ht="12" hidden="1" customHeight="1" thickBot="1" x14ac:dyDescent="0.25">
      <c r="B352" s="59"/>
      <c r="C352" s="65"/>
      <c r="D352" s="394" t="str">
        <f>IF(($AU$9+10)&gt;$AX$9,"",VLOOKUP($AU$9+10,Spielplan,7,0))</f>
        <v/>
      </c>
      <c r="E352" s="395"/>
      <c r="F352" s="395"/>
      <c r="G352" s="395"/>
      <c r="H352" s="395"/>
      <c r="I352" s="395"/>
      <c r="J352" s="395"/>
      <c r="K352" s="395"/>
      <c r="L352" s="395"/>
      <c r="M352" s="395"/>
      <c r="N352" s="395"/>
      <c r="O352" s="395"/>
      <c r="P352" s="396"/>
      <c r="Q352" s="389"/>
      <c r="R352" s="59"/>
      <c r="S352" s="394" t="str">
        <f>IF(($AU$9+10)&gt;$AX$9,"",VLOOKUP($AU$9+10,Spielplan,9,0))</f>
        <v/>
      </c>
      <c r="T352" s="395"/>
      <c r="U352" s="395"/>
      <c r="V352" s="395"/>
      <c r="W352" s="395"/>
      <c r="X352" s="395"/>
      <c r="Y352" s="395"/>
      <c r="Z352" s="395"/>
      <c r="AA352" s="395"/>
      <c r="AB352" s="395"/>
      <c r="AC352" s="395"/>
      <c r="AD352" s="395"/>
      <c r="AE352" s="409"/>
      <c r="AF352" s="392"/>
      <c r="AG352" s="59"/>
      <c r="AH352" s="410" t="s">
        <v>43</v>
      </c>
      <c r="AI352" s="411"/>
      <c r="AJ352" s="411"/>
      <c r="AK352" s="411"/>
      <c r="AL352" s="411"/>
      <c r="AM352" s="412"/>
      <c r="AN352" s="73" t="s">
        <v>44</v>
      </c>
      <c r="AO352" s="74"/>
      <c r="AP352" s="74"/>
      <c r="AQ352" s="72"/>
      <c r="AU352" s="46"/>
      <c r="AV352" s="46"/>
      <c r="AW352" s="46"/>
    </row>
    <row r="353" spans="2:49" ht="12" hidden="1" customHeight="1" thickBot="1" x14ac:dyDescent="0.25">
      <c r="B353" s="57"/>
      <c r="C353" s="70"/>
      <c r="D353" s="406"/>
      <c r="E353" s="407"/>
      <c r="F353" s="407"/>
      <c r="G353" s="407"/>
      <c r="H353" s="407"/>
      <c r="I353" s="407"/>
      <c r="J353" s="407"/>
      <c r="K353" s="407"/>
      <c r="L353" s="407"/>
      <c r="M353" s="407"/>
      <c r="N353" s="407"/>
      <c r="O353" s="407"/>
      <c r="P353" s="408"/>
      <c r="Q353" s="390"/>
      <c r="R353" s="57"/>
      <c r="S353" s="406"/>
      <c r="T353" s="407"/>
      <c r="U353" s="407"/>
      <c r="V353" s="407"/>
      <c r="W353" s="407"/>
      <c r="X353" s="407"/>
      <c r="Y353" s="407"/>
      <c r="Z353" s="407"/>
      <c r="AA353" s="407"/>
      <c r="AB353" s="407"/>
      <c r="AC353" s="407"/>
      <c r="AD353" s="407"/>
      <c r="AE353" s="385"/>
      <c r="AF353" s="393"/>
      <c r="AG353" s="57"/>
      <c r="AH353" s="413"/>
      <c r="AI353" s="414"/>
      <c r="AJ353" s="414"/>
      <c r="AK353" s="414"/>
      <c r="AL353" s="414"/>
      <c r="AM353" s="415"/>
      <c r="AN353" s="73" t="s">
        <v>45</v>
      </c>
      <c r="AO353" s="74"/>
      <c r="AP353" s="74"/>
      <c r="AQ353" s="72"/>
      <c r="AU353" s="46"/>
      <c r="AV353" s="46"/>
      <c r="AW353" s="46"/>
    </row>
    <row r="354" spans="2:49" ht="9.9499999999999993" hidden="1" customHeight="1" thickBot="1" x14ac:dyDescent="0.25">
      <c r="B354" s="59"/>
      <c r="C354" s="59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66"/>
      <c r="AU354" s="46"/>
      <c r="AV354" s="46"/>
      <c r="AW354" s="46"/>
    </row>
    <row r="355" spans="2:49" hidden="1" x14ac:dyDescent="0.2">
      <c r="B355" s="53"/>
      <c r="C355" s="62" t="s">
        <v>44</v>
      </c>
      <c r="D355" s="75"/>
      <c r="E355" s="76"/>
      <c r="F355" s="76"/>
      <c r="G355" s="76"/>
      <c r="H355" s="77"/>
      <c r="I355" s="75"/>
      <c r="J355" s="76"/>
      <c r="K355" s="76"/>
      <c r="L355" s="76"/>
      <c r="M355" s="77"/>
      <c r="N355" s="75"/>
      <c r="O355" s="76"/>
      <c r="P355" s="76"/>
      <c r="Q355" s="76"/>
      <c r="R355" s="77"/>
      <c r="S355" s="75"/>
      <c r="T355" s="76"/>
      <c r="U355" s="76"/>
      <c r="V355" s="76"/>
      <c r="W355" s="77"/>
      <c r="X355" s="75"/>
      <c r="Y355" s="76"/>
      <c r="Z355" s="76"/>
      <c r="AA355" s="76"/>
      <c r="AB355" s="77"/>
      <c r="AC355" s="75"/>
      <c r="AD355" s="76"/>
      <c r="AE355" s="76"/>
      <c r="AF355" s="76"/>
      <c r="AG355" s="77"/>
      <c r="AH355" s="75"/>
      <c r="AI355" s="76"/>
      <c r="AJ355" s="76"/>
      <c r="AK355" s="76"/>
      <c r="AL355" s="76"/>
      <c r="AM355" s="188" t="s">
        <v>44</v>
      </c>
      <c r="AN355" s="386"/>
      <c r="AO355" s="386"/>
      <c r="AP355" s="386"/>
      <c r="AQ355" s="387"/>
      <c r="AU355" s="46"/>
      <c r="AV355" s="46"/>
      <c r="AW355" s="46"/>
    </row>
    <row r="356" spans="2:49" ht="13.5" hidden="1" thickBot="1" x14ac:dyDescent="0.25">
      <c r="B356" s="57"/>
      <c r="C356" s="70" t="s">
        <v>45</v>
      </c>
      <c r="D356" s="57"/>
      <c r="E356" s="78"/>
      <c r="F356" s="78"/>
      <c r="G356" s="78"/>
      <c r="H356" s="79"/>
      <c r="I356" s="57"/>
      <c r="J356" s="78"/>
      <c r="K356" s="78"/>
      <c r="L356" s="78"/>
      <c r="M356" s="79"/>
      <c r="N356" s="57"/>
      <c r="O356" s="78"/>
      <c r="P356" s="78"/>
      <c r="Q356" s="78"/>
      <c r="R356" s="79"/>
      <c r="S356" s="57"/>
      <c r="T356" s="78"/>
      <c r="U356" s="78"/>
      <c r="V356" s="78"/>
      <c r="W356" s="79"/>
      <c r="X356" s="57"/>
      <c r="Y356" s="78"/>
      <c r="Z356" s="78"/>
      <c r="AA356" s="78"/>
      <c r="AB356" s="79"/>
      <c r="AC356" s="57"/>
      <c r="AD356" s="78"/>
      <c r="AE356" s="78"/>
      <c r="AF356" s="78"/>
      <c r="AG356" s="79"/>
      <c r="AH356" s="57"/>
      <c r="AI356" s="78"/>
      <c r="AJ356" s="78"/>
      <c r="AK356" s="78"/>
      <c r="AL356" s="78"/>
      <c r="AM356" s="190" t="s">
        <v>45</v>
      </c>
      <c r="AN356" s="323"/>
      <c r="AO356" s="323"/>
      <c r="AP356" s="323"/>
      <c r="AQ356" s="324"/>
      <c r="AU356" s="46"/>
      <c r="AV356" s="46"/>
      <c r="AW356" s="46"/>
    </row>
    <row r="357" spans="2:49" hidden="1" x14ac:dyDescent="0.2">
      <c r="B357" s="53"/>
      <c r="C357" s="62" t="s">
        <v>44</v>
      </c>
      <c r="D357" s="75"/>
      <c r="E357" s="76"/>
      <c r="F357" s="76"/>
      <c r="G357" s="76"/>
      <c r="H357" s="77"/>
      <c r="I357" s="75"/>
      <c r="J357" s="76"/>
      <c r="K357" s="76"/>
      <c r="L357" s="76"/>
      <c r="M357" s="77"/>
      <c r="N357" s="75"/>
      <c r="O357" s="76"/>
      <c r="P357" s="76"/>
      <c r="Q357" s="76"/>
      <c r="R357" s="77"/>
      <c r="S357" s="75"/>
      <c r="T357" s="76"/>
      <c r="U357" s="76"/>
      <c r="V357" s="76"/>
      <c r="W357" s="77"/>
      <c r="X357" s="75"/>
      <c r="Y357" s="76"/>
      <c r="Z357" s="76"/>
      <c r="AA357" s="76"/>
      <c r="AB357" s="77"/>
      <c r="AC357" s="75"/>
      <c r="AD357" s="76"/>
      <c r="AE357" s="76"/>
      <c r="AF357" s="76"/>
      <c r="AG357" s="77"/>
      <c r="AH357" s="75"/>
      <c r="AI357" s="76"/>
      <c r="AJ357" s="76"/>
      <c r="AK357" s="76"/>
      <c r="AL357" s="76"/>
      <c r="AM357" s="188" t="s">
        <v>44</v>
      </c>
      <c r="AN357" s="386"/>
      <c r="AO357" s="386"/>
      <c r="AP357" s="386"/>
      <c r="AQ357" s="387"/>
      <c r="AU357" s="46"/>
      <c r="AV357" s="46"/>
      <c r="AW357" s="46"/>
    </row>
    <row r="358" spans="2:49" ht="13.5" hidden="1" thickBot="1" x14ac:dyDescent="0.25">
      <c r="B358" s="57"/>
      <c r="C358" s="70" t="s">
        <v>45</v>
      </c>
      <c r="D358" s="57"/>
      <c r="E358" s="78"/>
      <c r="F358" s="78"/>
      <c r="G358" s="78"/>
      <c r="H358" s="79"/>
      <c r="I358" s="57"/>
      <c r="J358" s="78"/>
      <c r="K358" s="78"/>
      <c r="L358" s="78"/>
      <c r="M358" s="79"/>
      <c r="N358" s="57"/>
      <c r="O358" s="78"/>
      <c r="P358" s="78"/>
      <c r="Q358" s="78"/>
      <c r="R358" s="79"/>
      <c r="S358" s="57"/>
      <c r="T358" s="78"/>
      <c r="U358" s="78"/>
      <c r="V358" s="78"/>
      <c r="W358" s="79"/>
      <c r="X358" s="57"/>
      <c r="Y358" s="78"/>
      <c r="Z358" s="78"/>
      <c r="AA358" s="78"/>
      <c r="AB358" s="79"/>
      <c r="AC358" s="57"/>
      <c r="AD358" s="78"/>
      <c r="AE358" s="78"/>
      <c r="AF358" s="78"/>
      <c r="AG358" s="79"/>
      <c r="AH358" s="57"/>
      <c r="AI358" s="78"/>
      <c r="AJ358" s="78"/>
      <c r="AK358" s="78"/>
      <c r="AL358" s="78"/>
      <c r="AM358" s="189" t="s">
        <v>45</v>
      </c>
      <c r="AN358" s="338"/>
      <c r="AO358" s="338"/>
      <c r="AP358" s="338"/>
      <c r="AQ358" s="339"/>
      <c r="AU358" s="46"/>
      <c r="AV358" s="46"/>
      <c r="AW358" s="46"/>
    </row>
    <row r="359" spans="2:49" hidden="1" x14ac:dyDescent="0.2">
      <c r="B359" s="53"/>
      <c r="C359" s="62" t="s">
        <v>44</v>
      </c>
      <c r="D359" s="75"/>
      <c r="E359" s="76"/>
      <c r="F359" s="76"/>
      <c r="G359" s="76"/>
      <c r="H359" s="77"/>
      <c r="I359" s="75"/>
      <c r="J359" s="76"/>
      <c r="K359" s="76"/>
      <c r="L359" s="76"/>
      <c r="M359" s="77"/>
      <c r="N359" s="75"/>
      <c r="O359" s="76"/>
      <c r="P359" s="76"/>
      <c r="Q359" s="76"/>
      <c r="R359" s="77"/>
      <c r="S359" s="75"/>
      <c r="T359" s="76"/>
      <c r="U359" s="76"/>
      <c r="V359" s="76"/>
      <c r="W359" s="77"/>
      <c r="X359" s="75"/>
      <c r="Y359" s="76"/>
      <c r="Z359" s="76"/>
      <c r="AA359" s="76"/>
      <c r="AB359" s="77"/>
      <c r="AC359" s="75"/>
      <c r="AD359" s="76"/>
      <c r="AE359" s="76"/>
      <c r="AF359" s="76"/>
      <c r="AG359" s="77"/>
      <c r="AH359" s="75"/>
      <c r="AI359" s="76"/>
      <c r="AJ359" s="76"/>
      <c r="AK359" s="76"/>
      <c r="AL359" s="76"/>
      <c r="AM359" s="188" t="s">
        <v>44</v>
      </c>
      <c r="AN359" s="386"/>
      <c r="AO359" s="386"/>
      <c r="AP359" s="386"/>
      <c r="AQ359" s="387"/>
      <c r="AU359" s="46"/>
      <c r="AV359" s="46"/>
      <c r="AW359" s="46"/>
    </row>
    <row r="360" spans="2:49" ht="13.5" hidden="1" thickBot="1" x14ac:dyDescent="0.25">
      <c r="B360" s="57"/>
      <c r="C360" s="70" t="s">
        <v>45</v>
      </c>
      <c r="D360" s="57"/>
      <c r="E360" s="78"/>
      <c r="F360" s="78"/>
      <c r="G360" s="78"/>
      <c r="H360" s="79"/>
      <c r="I360" s="57"/>
      <c r="J360" s="78"/>
      <c r="K360" s="78"/>
      <c r="L360" s="78"/>
      <c r="M360" s="79"/>
      <c r="N360" s="57"/>
      <c r="O360" s="78"/>
      <c r="P360" s="78"/>
      <c r="Q360" s="78"/>
      <c r="R360" s="79"/>
      <c r="S360" s="57"/>
      <c r="T360" s="78"/>
      <c r="U360" s="78"/>
      <c r="V360" s="78"/>
      <c r="W360" s="79"/>
      <c r="X360" s="57"/>
      <c r="Y360" s="78"/>
      <c r="Z360" s="78"/>
      <c r="AA360" s="78"/>
      <c r="AB360" s="79"/>
      <c r="AC360" s="57"/>
      <c r="AD360" s="78"/>
      <c r="AE360" s="78"/>
      <c r="AF360" s="78"/>
      <c r="AG360" s="79"/>
      <c r="AH360" s="57"/>
      <c r="AI360" s="78"/>
      <c r="AJ360" s="78"/>
      <c r="AK360" s="78"/>
      <c r="AL360" s="78"/>
      <c r="AM360" s="189" t="s">
        <v>45</v>
      </c>
      <c r="AN360" s="338"/>
      <c r="AO360" s="338"/>
      <c r="AP360" s="338"/>
      <c r="AQ360" s="339"/>
      <c r="AU360" s="46"/>
      <c r="AV360" s="46"/>
      <c r="AW360" s="46"/>
    </row>
    <row r="361" spans="2:49" ht="9.9499999999999993" hidden="1" customHeight="1" x14ac:dyDescent="0.2">
      <c r="B361" s="59"/>
      <c r="C361" s="59"/>
      <c r="D361" s="374" t="s">
        <v>46</v>
      </c>
      <c r="E361" s="375"/>
      <c r="F361" s="376"/>
      <c r="G361" s="380" t="s">
        <v>47</v>
      </c>
      <c r="H361" s="381"/>
      <c r="I361" s="381"/>
      <c r="J361" s="381"/>
      <c r="K361" s="381"/>
      <c r="L361" s="381"/>
      <c r="M361" s="381"/>
      <c r="N361" s="381"/>
      <c r="O361" s="382"/>
      <c r="P361" s="359" t="s">
        <v>41</v>
      </c>
      <c r="Q361" s="359" t="s">
        <v>48</v>
      </c>
      <c r="R361" s="52"/>
      <c r="S361" s="374" t="s">
        <v>46</v>
      </c>
      <c r="T361" s="375"/>
      <c r="U361" s="376"/>
      <c r="V361" s="380" t="s">
        <v>47</v>
      </c>
      <c r="W361" s="381"/>
      <c r="X361" s="381"/>
      <c r="Y361" s="381"/>
      <c r="Z361" s="381"/>
      <c r="AA361" s="381"/>
      <c r="AB361" s="381"/>
      <c r="AC361" s="381"/>
      <c r="AD361" s="382"/>
      <c r="AE361" s="359" t="s">
        <v>41</v>
      </c>
      <c r="AF361" s="359" t="s">
        <v>48</v>
      </c>
      <c r="AG361" s="80"/>
      <c r="AH361" s="81"/>
      <c r="AI361" s="81"/>
      <c r="AJ361" s="81"/>
      <c r="AK361" s="81"/>
      <c r="AL361" s="81"/>
      <c r="AM361" s="99"/>
      <c r="AN361" s="373" t="s">
        <v>1</v>
      </c>
      <c r="AO361" s="373"/>
      <c r="AP361" s="373" t="s">
        <v>2</v>
      </c>
      <c r="AQ361" s="373"/>
      <c r="AR361" s="82"/>
      <c r="AU361" s="46"/>
      <c r="AV361" s="46"/>
      <c r="AW361" s="46"/>
    </row>
    <row r="362" spans="2:49" ht="13.5" hidden="1" thickBot="1" x14ac:dyDescent="0.25">
      <c r="B362" s="59"/>
      <c r="C362" s="59"/>
      <c r="D362" s="377"/>
      <c r="E362" s="378"/>
      <c r="F362" s="379"/>
      <c r="G362" s="383"/>
      <c r="H362" s="384"/>
      <c r="I362" s="384"/>
      <c r="J362" s="384"/>
      <c r="K362" s="384"/>
      <c r="L362" s="384"/>
      <c r="M362" s="384"/>
      <c r="N362" s="384"/>
      <c r="O362" s="385"/>
      <c r="P362" s="360"/>
      <c r="Q362" s="360"/>
      <c r="R362" s="52"/>
      <c r="S362" s="377"/>
      <c r="T362" s="378"/>
      <c r="U362" s="379"/>
      <c r="V362" s="383"/>
      <c r="W362" s="384"/>
      <c r="X362" s="384"/>
      <c r="Y362" s="384"/>
      <c r="Z362" s="384"/>
      <c r="AA362" s="384"/>
      <c r="AB362" s="384"/>
      <c r="AC362" s="384"/>
      <c r="AD362" s="385"/>
      <c r="AE362" s="360"/>
      <c r="AF362" s="360"/>
      <c r="AG362" s="83"/>
      <c r="AH362" s="52"/>
      <c r="AI362" s="84" t="s">
        <v>49</v>
      </c>
      <c r="AJ362" s="84"/>
      <c r="AK362" s="84"/>
      <c r="AL362" s="84"/>
      <c r="AM362" s="84"/>
      <c r="AN362" s="84"/>
      <c r="AO362" s="85"/>
      <c r="AP362" s="85"/>
      <c r="AQ362" s="86"/>
      <c r="AR362" s="82"/>
      <c r="AU362" s="46"/>
      <c r="AV362" s="46"/>
      <c r="AW362" s="46"/>
    </row>
    <row r="363" spans="2:49" ht="13.5" hidden="1" customHeight="1" x14ac:dyDescent="0.2">
      <c r="B363" s="59"/>
      <c r="C363" s="59"/>
      <c r="D363" s="198"/>
      <c r="E363" s="191"/>
      <c r="F363" s="192"/>
      <c r="G363" s="193" t="s">
        <v>50</v>
      </c>
      <c r="H363" s="194"/>
      <c r="I363" s="194"/>
      <c r="J363" s="194"/>
      <c r="K363" s="194"/>
      <c r="L363" s="194"/>
      <c r="M363" s="194"/>
      <c r="N363" s="194"/>
      <c r="O363" s="195"/>
      <c r="P363" s="196"/>
      <c r="Q363" s="196"/>
      <c r="R363" s="197"/>
      <c r="S363" s="198"/>
      <c r="T363" s="191"/>
      <c r="U363" s="192"/>
      <c r="V363" s="193" t="s">
        <v>50</v>
      </c>
      <c r="W363" s="194"/>
      <c r="X363" s="194"/>
      <c r="Y363" s="194"/>
      <c r="Z363" s="194"/>
      <c r="AA363" s="194"/>
      <c r="AB363" s="194"/>
      <c r="AC363" s="194"/>
      <c r="AD363" s="195"/>
      <c r="AE363" s="196"/>
      <c r="AF363" s="196"/>
      <c r="AG363" s="361" t="s">
        <v>68</v>
      </c>
      <c r="AH363" s="362"/>
      <c r="AI363" s="362"/>
      <c r="AJ363" s="363"/>
      <c r="AK363" s="367" t="s">
        <v>51</v>
      </c>
      <c r="AL363" s="368"/>
      <c r="AM363" s="368"/>
      <c r="AN363" s="368"/>
      <c r="AO363" s="368"/>
      <c r="AP363" s="368"/>
      <c r="AQ363" s="369"/>
      <c r="AU363" s="46"/>
      <c r="AV363" s="46"/>
      <c r="AW363" s="46"/>
    </row>
    <row r="364" spans="2:49" ht="13.5" hidden="1" customHeight="1" thickBot="1" x14ac:dyDescent="0.25">
      <c r="B364" s="59"/>
      <c r="C364" s="59"/>
      <c r="D364" s="198"/>
      <c r="E364" s="191"/>
      <c r="F364" s="192"/>
      <c r="G364" s="199">
        <v>2</v>
      </c>
      <c r="H364" s="191"/>
      <c r="I364" s="191"/>
      <c r="J364" s="191"/>
      <c r="K364" s="191"/>
      <c r="L364" s="191"/>
      <c r="M364" s="191"/>
      <c r="N364" s="191"/>
      <c r="O364" s="192"/>
      <c r="P364" s="196"/>
      <c r="Q364" s="196"/>
      <c r="R364" s="197"/>
      <c r="S364" s="198"/>
      <c r="T364" s="191"/>
      <c r="U364" s="192"/>
      <c r="V364" s="199">
        <v>2</v>
      </c>
      <c r="W364" s="191"/>
      <c r="X364" s="191"/>
      <c r="Y364" s="191"/>
      <c r="Z364" s="191"/>
      <c r="AA364" s="191"/>
      <c r="AB364" s="191"/>
      <c r="AC364" s="191"/>
      <c r="AD364" s="192"/>
      <c r="AE364" s="196"/>
      <c r="AF364" s="196"/>
      <c r="AG364" s="364"/>
      <c r="AH364" s="365"/>
      <c r="AI364" s="365"/>
      <c r="AJ364" s="366"/>
      <c r="AK364" s="370"/>
      <c r="AL364" s="371"/>
      <c r="AM364" s="371"/>
      <c r="AN364" s="371"/>
      <c r="AO364" s="371"/>
      <c r="AP364" s="371"/>
      <c r="AQ364" s="372"/>
      <c r="AU364" s="46"/>
      <c r="AV364" s="46"/>
      <c r="AW364" s="46"/>
    </row>
    <row r="365" spans="2:49" ht="13.5" hidden="1" customHeight="1" x14ac:dyDescent="0.2">
      <c r="B365" s="59"/>
      <c r="C365" s="59"/>
      <c r="D365" s="198"/>
      <c r="E365" s="191"/>
      <c r="F365" s="192"/>
      <c r="G365" s="199">
        <v>3</v>
      </c>
      <c r="H365" s="191"/>
      <c r="I365" s="191"/>
      <c r="J365" s="191"/>
      <c r="K365" s="191"/>
      <c r="L365" s="191"/>
      <c r="M365" s="191"/>
      <c r="N365" s="191"/>
      <c r="O365" s="192"/>
      <c r="P365" s="196"/>
      <c r="Q365" s="196"/>
      <c r="R365" s="197"/>
      <c r="S365" s="198"/>
      <c r="T365" s="191"/>
      <c r="U365" s="192"/>
      <c r="V365" s="199">
        <v>3</v>
      </c>
      <c r="W365" s="191"/>
      <c r="X365" s="191"/>
      <c r="Y365" s="191"/>
      <c r="Z365" s="191"/>
      <c r="AA365" s="191"/>
      <c r="AB365" s="191"/>
      <c r="AC365" s="191"/>
      <c r="AD365" s="192"/>
      <c r="AE365" s="196"/>
      <c r="AF365" s="196"/>
      <c r="AG365" s="361" t="s">
        <v>2</v>
      </c>
      <c r="AH365" s="362"/>
      <c r="AI365" s="362"/>
      <c r="AJ365" s="363"/>
      <c r="AK365" s="367" t="s">
        <v>51</v>
      </c>
      <c r="AL365" s="368"/>
      <c r="AM365" s="368"/>
      <c r="AN365" s="368"/>
      <c r="AO365" s="368"/>
      <c r="AP365" s="368"/>
      <c r="AQ365" s="369"/>
      <c r="AU365" s="46"/>
      <c r="AV365" s="46"/>
      <c r="AW365" s="46"/>
    </row>
    <row r="366" spans="2:49" ht="13.5" hidden="1" customHeight="1" thickBot="1" x14ac:dyDescent="0.25">
      <c r="B366" s="59"/>
      <c r="C366" s="59"/>
      <c r="D366" s="198"/>
      <c r="E366" s="191"/>
      <c r="F366" s="192"/>
      <c r="G366" s="199">
        <v>4</v>
      </c>
      <c r="H366" s="191"/>
      <c r="I366" s="191"/>
      <c r="J366" s="191"/>
      <c r="K366" s="191"/>
      <c r="L366" s="191"/>
      <c r="M366" s="191"/>
      <c r="N366" s="191"/>
      <c r="O366" s="192"/>
      <c r="P366" s="196"/>
      <c r="Q366" s="196"/>
      <c r="R366" s="197"/>
      <c r="S366" s="198"/>
      <c r="T366" s="191"/>
      <c r="U366" s="192"/>
      <c r="V366" s="199">
        <v>4</v>
      </c>
      <c r="W366" s="191"/>
      <c r="X366" s="191"/>
      <c r="Y366" s="191"/>
      <c r="Z366" s="191"/>
      <c r="AA366" s="191"/>
      <c r="AB366" s="191"/>
      <c r="AC366" s="191"/>
      <c r="AD366" s="192"/>
      <c r="AE366" s="196"/>
      <c r="AF366" s="196"/>
      <c r="AG366" s="364"/>
      <c r="AH366" s="365"/>
      <c r="AI366" s="365"/>
      <c r="AJ366" s="366"/>
      <c r="AK366" s="370"/>
      <c r="AL366" s="371"/>
      <c r="AM366" s="371"/>
      <c r="AN366" s="371"/>
      <c r="AO366" s="371"/>
      <c r="AP366" s="371"/>
      <c r="AQ366" s="372"/>
      <c r="AU366" s="46"/>
      <c r="AV366" s="46"/>
      <c r="AW366" s="46"/>
    </row>
    <row r="367" spans="2:49" ht="13.5" hidden="1" customHeight="1" x14ac:dyDescent="0.2">
      <c r="B367" s="59"/>
      <c r="C367" s="59"/>
      <c r="D367" s="198"/>
      <c r="E367" s="191"/>
      <c r="F367" s="192"/>
      <c r="G367" s="199">
        <v>5</v>
      </c>
      <c r="H367" s="191"/>
      <c r="I367" s="191"/>
      <c r="J367" s="191"/>
      <c r="K367" s="191"/>
      <c r="L367" s="191"/>
      <c r="M367" s="191"/>
      <c r="N367" s="191"/>
      <c r="O367" s="192"/>
      <c r="P367" s="196"/>
      <c r="Q367" s="196"/>
      <c r="R367" s="197"/>
      <c r="S367" s="198"/>
      <c r="T367" s="191"/>
      <c r="U367" s="192"/>
      <c r="V367" s="199">
        <v>5</v>
      </c>
      <c r="W367" s="191"/>
      <c r="X367" s="191"/>
      <c r="Y367" s="191"/>
      <c r="Z367" s="191"/>
      <c r="AA367" s="191"/>
      <c r="AB367" s="191"/>
      <c r="AC367" s="191"/>
      <c r="AD367" s="192"/>
      <c r="AE367" s="196"/>
      <c r="AF367" s="196"/>
      <c r="AG367" s="87" t="s">
        <v>52</v>
      </c>
      <c r="AH367" s="55"/>
      <c r="AI367" s="55"/>
      <c r="AJ367" s="55"/>
      <c r="AK367" s="55"/>
      <c r="AL367" s="55"/>
      <c r="AM367" s="55"/>
      <c r="AN367" s="55"/>
      <c r="AO367" s="55" t="s">
        <v>53</v>
      </c>
      <c r="AP367" s="55"/>
      <c r="AQ367" s="64"/>
      <c r="AU367" s="46"/>
      <c r="AV367" s="46"/>
      <c r="AW367" s="46"/>
    </row>
    <row r="368" spans="2:49" ht="13.5" hidden="1" customHeight="1" x14ac:dyDescent="0.2">
      <c r="B368" s="59"/>
      <c r="C368" s="59"/>
      <c r="D368" s="198"/>
      <c r="E368" s="191"/>
      <c r="F368" s="192"/>
      <c r="G368" s="199">
        <v>6</v>
      </c>
      <c r="H368" s="191"/>
      <c r="I368" s="191"/>
      <c r="J368" s="191"/>
      <c r="K368" s="191"/>
      <c r="L368" s="191"/>
      <c r="M368" s="191"/>
      <c r="N368" s="191"/>
      <c r="O368" s="192"/>
      <c r="P368" s="196"/>
      <c r="Q368" s="196"/>
      <c r="R368" s="197"/>
      <c r="S368" s="198"/>
      <c r="T368" s="191"/>
      <c r="U368" s="192"/>
      <c r="V368" s="199">
        <v>6</v>
      </c>
      <c r="W368" s="191"/>
      <c r="X368" s="191"/>
      <c r="Y368" s="191"/>
      <c r="Z368" s="191"/>
      <c r="AA368" s="191"/>
      <c r="AB368" s="191"/>
      <c r="AC368" s="191"/>
      <c r="AD368" s="192"/>
      <c r="AE368" s="196"/>
      <c r="AF368" s="196"/>
      <c r="AG368" s="88"/>
      <c r="AH368" s="52"/>
      <c r="AI368" s="52"/>
      <c r="AJ368" s="52"/>
      <c r="AK368" s="52"/>
      <c r="AL368" s="52"/>
      <c r="AM368" s="52"/>
      <c r="AN368" s="52"/>
      <c r="AO368" s="52"/>
      <c r="AP368" s="52"/>
      <c r="AQ368" s="66"/>
      <c r="AU368" s="46"/>
      <c r="AV368" s="46"/>
      <c r="AW368" s="46"/>
    </row>
    <row r="369" spans="2:49" ht="13.5" hidden="1" customHeight="1" thickBot="1" x14ac:dyDescent="0.25">
      <c r="B369" s="59"/>
      <c r="C369" s="59"/>
      <c r="D369" s="198"/>
      <c r="E369" s="191"/>
      <c r="F369" s="192"/>
      <c r="G369" s="199">
        <v>7</v>
      </c>
      <c r="H369" s="191"/>
      <c r="I369" s="191"/>
      <c r="J369" s="191"/>
      <c r="K369" s="191"/>
      <c r="L369" s="191"/>
      <c r="M369" s="191"/>
      <c r="N369" s="191"/>
      <c r="O369" s="192"/>
      <c r="P369" s="196"/>
      <c r="Q369" s="196"/>
      <c r="R369" s="197"/>
      <c r="S369" s="198"/>
      <c r="T369" s="191"/>
      <c r="U369" s="192"/>
      <c r="V369" s="199">
        <v>7</v>
      </c>
      <c r="W369" s="191"/>
      <c r="X369" s="191"/>
      <c r="Y369" s="191"/>
      <c r="Z369" s="191"/>
      <c r="AA369" s="191"/>
      <c r="AB369" s="191"/>
      <c r="AC369" s="191"/>
      <c r="AD369" s="192"/>
      <c r="AE369" s="196"/>
      <c r="AF369" s="196"/>
      <c r="AG369" s="59" t="s">
        <v>54</v>
      </c>
      <c r="AH369" s="52"/>
      <c r="AI369" s="52"/>
      <c r="AJ369" s="52"/>
      <c r="AK369" s="52"/>
      <c r="AL369" s="52"/>
      <c r="AM369" s="52"/>
      <c r="AN369" s="52"/>
      <c r="AO369" s="52"/>
      <c r="AP369" s="52"/>
      <c r="AQ369" s="66"/>
      <c r="AU369" s="46"/>
      <c r="AV369" s="46"/>
      <c r="AW369" s="46"/>
    </row>
    <row r="370" spans="2:49" ht="13.5" hidden="1" customHeight="1" thickBot="1" x14ac:dyDescent="0.25">
      <c r="B370" s="59"/>
      <c r="C370" s="59"/>
      <c r="D370" s="204"/>
      <c r="E370" s="200"/>
      <c r="F370" s="201"/>
      <c r="G370" s="202">
        <v>8</v>
      </c>
      <c r="H370" s="200"/>
      <c r="I370" s="200"/>
      <c r="J370" s="200"/>
      <c r="K370" s="200"/>
      <c r="L370" s="200"/>
      <c r="M370" s="200"/>
      <c r="N370" s="200"/>
      <c r="O370" s="201"/>
      <c r="P370" s="203"/>
      <c r="Q370" s="203"/>
      <c r="R370" s="197"/>
      <c r="S370" s="204"/>
      <c r="T370" s="200"/>
      <c r="U370" s="201"/>
      <c r="V370" s="202">
        <v>8</v>
      </c>
      <c r="W370" s="200"/>
      <c r="X370" s="200"/>
      <c r="Y370" s="200"/>
      <c r="Z370" s="200"/>
      <c r="AA370" s="200"/>
      <c r="AB370" s="200"/>
      <c r="AC370" s="200"/>
      <c r="AD370" s="201"/>
      <c r="AE370" s="203"/>
      <c r="AF370" s="203"/>
      <c r="AG370" s="89" t="s">
        <v>55</v>
      </c>
      <c r="AH370" s="55"/>
      <c r="AI370" s="55"/>
      <c r="AJ370" s="55"/>
      <c r="AK370" s="55"/>
      <c r="AL370" s="55"/>
      <c r="AM370" s="55"/>
      <c r="AN370" s="55"/>
      <c r="AO370" s="55"/>
      <c r="AP370" s="55"/>
      <c r="AQ370" s="64"/>
      <c r="AU370" s="46"/>
      <c r="AV370" s="46"/>
      <c r="AW370" s="46"/>
    </row>
    <row r="371" spans="2:49" ht="13.5" hidden="1" customHeight="1" thickBot="1" x14ac:dyDescent="0.25">
      <c r="B371" s="59"/>
      <c r="C371" s="59"/>
      <c r="D371" s="74"/>
      <c r="E371" s="90"/>
      <c r="F371" s="90"/>
      <c r="G371" s="90"/>
      <c r="H371" s="90"/>
      <c r="I371" s="90"/>
      <c r="J371" s="91" t="s">
        <v>56</v>
      </c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  <c r="AA371" s="90"/>
      <c r="AB371" s="90"/>
      <c r="AC371" s="90"/>
      <c r="AD371" s="90"/>
      <c r="AE371" s="90"/>
      <c r="AF371" s="92"/>
      <c r="AG371" s="69" t="s">
        <v>57</v>
      </c>
      <c r="AH371" s="52"/>
      <c r="AI371" s="52"/>
      <c r="AJ371" s="52"/>
      <c r="AK371" s="52"/>
      <c r="AL371" s="52"/>
      <c r="AM371" s="52"/>
      <c r="AN371" s="52"/>
      <c r="AO371" s="52"/>
      <c r="AP371" s="52"/>
      <c r="AQ371" s="66"/>
      <c r="AU371" s="46"/>
      <c r="AV371" s="46"/>
      <c r="AW371" s="46"/>
    </row>
    <row r="372" spans="2:49" ht="13.5" hidden="1" customHeight="1" thickBot="1" x14ac:dyDescent="0.25">
      <c r="B372" s="59"/>
      <c r="C372" s="59"/>
      <c r="D372" s="93" t="s">
        <v>58</v>
      </c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2"/>
      <c r="S372" s="93" t="s">
        <v>59</v>
      </c>
      <c r="T372" s="90"/>
      <c r="U372" s="90"/>
      <c r="V372" s="90"/>
      <c r="W372" s="90"/>
      <c r="X372" s="90"/>
      <c r="Y372" s="90"/>
      <c r="Z372" s="90"/>
      <c r="AA372" s="90"/>
      <c r="AB372" s="90"/>
      <c r="AC372" s="90"/>
      <c r="AD372" s="90"/>
      <c r="AE372" s="90"/>
      <c r="AF372" s="92"/>
      <c r="AG372" s="94" t="s">
        <v>60</v>
      </c>
      <c r="AH372" s="95"/>
      <c r="AI372" s="95"/>
      <c r="AJ372" s="95"/>
      <c r="AK372" s="95"/>
      <c r="AL372" s="72"/>
      <c r="AM372" s="96" t="s">
        <v>61</v>
      </c>
      <c r="AN372" s="95"/>
      <c r="AO372" s="95"/>
      <c r="AP372" s="95"/>
      <c r="AQ372" s="72"/>
      <c r="AU372" s="46"/>
      <c r="AV372" s="46"/>
      <c r="AW372" s="46"/>
    </row>
    <row r="373" spans="2:49" ht="17.25" hidden="1" customHeight="1" thickBot="1" x14ac:dyDescent="0.25">
      <c r="B373" s="57"/>
      <c r="C373" s="57"/>
      <c r="D373" s="93" t="s">
        <v>62</v>
      </c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2"/>
      <c r="S373" s="93" t="s">
        <v>6</v>
      </c>
      <c r="T373" s="90"/>
      <c r="U373" s="90"/>
      <c r="V373" s="90"/>
      <c r="W373" s="90"/>
      <c r="X373" s="90"/>
      <c r="Y373" s="90"/>
      <c r="Z373" s="90"/>
      <c r="AA373" s="90"/>
      <c r="AB373" s="90"/>
      <c r="AC373" s="90"/>
      <c r="AD373" s="90"/>
      <c r="AE373" s="90"/>
      <c r="AF373" s="92"/>
      <c r="AG373" s="97" t="s">
        <v>63</v>
      </c>
      <c r="AH373" s="58"/>
      <c r="AI373" s="58"/>
      <c r="AJ373" s="58"/>
      <c r="AK373" s="58"/>
      <c r="AL373" s="72"/>
      <c r="AM373" s="98" t="s">
        <v>64</v>
      </c>
      <c r="AN373" s="58"/>
      <c r="AO373" s="58"/>
      <c r="AP373" s="58"/>
      <c r="AQ373" s="72"/>
      <c r="AU373" s="46"/>
      <c r="AV373" s="46"/>
      <c r="AW373" s="46"/>
    </row>
    <row r="374" spans="2:49" ht="17.25" hidden="1" customHeight="1" x14ac:dyDescent="0.2">
      <c r="B374" s="52"/>
      <c r="C374" s="52"/>
      <c r="D374" s="99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99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100"/>
      <c r="AH374" s="52"/>
      <c r="AI374" s="52"/>
      <c r="AJ374" s="52"/>
      <c r="AK374" s="52"/>
      <c r="AL374" s="52"/>
      <c r="AM374" s="101"/>
      <c r="AN374" s="52"/>
      <c r="AO374" s="52"/>
      <c r="AP374" s="52"/>
      <c r="AQ374" s="52"/>
      <c r="AU374" s="46"/>
      <c r="AV374" s="46"/>
      <c r="AW374" s="46"/>
    </row>
    <row r="375" spans="2:49" ht="15.95" hidden="1" customHeight="1" thickBot="1" x14ac:dyDescent="0.25">
      <c r="AU375" s="46"/>
      <c r="AV375" s="46"/>
      <c r="AW375" s="46"/>
    </row>
    <row r="376" spans="2:49" ht="17.25" hidden="1" customHeight="1" x14ac:dyDescent="0.25">
      <c r="B376" s="53"/>
      <c r="C376" s="53"/>
      <c r="D376" s="54" t="s">
        <v>29</v>
      </c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6" t="s">
        <v>73</v>
      </c>
      <c r="Z376" s="55"/>
      <c r="AA376" s="55"/>
      <c r="AB376" s="55"/>
      <c r="AC376" s="55"/>
      <c r="AD376" s="55"/>
      <c r="AE376" s="55"/>
      <c r="AF376" s="55"/>
      <c r="AG376" s="55"/>
      <c r="AH376" s="433" t="s">
        <v>30</v>
      </c>
      <c r="AI376" s="434"/>
      <c r="AJ376" s="434"/>
      <c r="AK376" s="434"/>
      <c r="AL376" s="434"/>
      <c r="AM376" s="435" t="str">
        <f>IF(($AU$9+11)&gt;$AX$9,"",VLOOKUP($AU$9+11,Spielplan,3,0))</f>
        <v/>
      </c>
      <c r="AN376" s="435"/>
      <c r="AO376" s="435"/>
      <c r="AP376" s="435"/>
      <c r="AQ376" s="436"/>
      <c r="AU376" s="46"/>
      <c r="AV376" s="46"/>
      <c r="AW376" s="46"/>
    </row>
    <row r="377" spans="2:49" ht="0.75" hidden="1" customHeight="1" thickBot="1" x14ac:dyDescent="0.25">
      <c r="B377" s="57"/>
      <c r="C377" s="57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9"/>
      <c r="AI377" s="52"/>
      <c r="AJ377" s="52"/>
      <c r="AK377" s="52"/>
      <c r="AL377" s="52"/>
      <c r="AM377" s="60"/>
      <c r="AN377" s="60"/>
      <c r="AO377" s="60"/>
      <c r="AP377" s="60"/>
      <c r="AQ377" s="61"/>
      <c r="AU377" s="46"/>
      <c r="AV377" s="46"/>
      <c r="AW377" s="46"/>
    </row>
    <row r="378" spans="2:49" ht="15" hidden="1" x14ac:dyDescent="0.25">
      <c r="B378" s="53"/>
      <c r="C378" s="62"/>
      <c r="D378" s="53"/>
      <c r="E378" s="63" t="s">
        <v>6</v>
      </c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64"/>
      <c r="S378" s="437" t="s">
        <v>31</v>
      </c>
      <c r="T378" s="438"/>
      <c r="U378" s="438"/>
      <c r="V378" s="438"/>
      <c r="W378" s="438"/>
      <c r="X378" s="438"/>
      <c r="Y378" s="362" t="str">
        <f>IF(($AU$9+11)&gt;$AX$9,"","SHTV")</f>
        <v/>
      </c>
      <c r="Z378" s="362"/>
      <c r="AA378" s="362"/>
      <c r="AB378" s="362"/>
      <c r="AC378" s="362"/>
      <c r="AD378" s="362"/>
      <c r="AE378" s="362"/>
      <c r="AF378" s="362"/>
      <c r="AG378" s="362"/>
      <c r="AH378" s="416" t="s">
        <v>32</v>
      </c>
      <c r="AI378" s="417"/>
      <c r="AJ378" s="417"/>
      <c r="AK378" s="417"/>
      <c r="AL378" s="417"/>
      <c r="AM378" s="420" t="str">
        <f>IF(($AU$9+11)&gt;$AX$9,"",VLOOKUP($AU$9+11,Spielplan,4,0))</f>
        <v/>
      </c>
      <c r="AN378" s="421"/>
      <c r="AO378" s="421"/>
      <c r="AP378" s="421"/>
      <c r="AQ378" s="422"/>
      <c r="AU378" s="46"/>
      <c r="AV378" s="46"/>
      <c r="AW378" s="46"/>
    </row>
    <row r="379" spans="2:49" ht="9.9499999999999993" hidden="1" customHeight="1" x14ac:dyDescent="0.2">
      <c r="B379" s="59"/>
      <c r="C379" s="65"/>
      <c r="D379" s="59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66"/>
      <c r="S379" s="400"/>
      <c r="T379" s="399"/>
      <c r="U379" s="399"/>
      <c r="V379" s="399"/>
      <c r="W379" s="399"/>
      <c r="X379" s="399"/>
      <c r="Y379" s="402"/>
      <c r="Z379" s="402"/>
      <c r="AA379" s="402"/>
      <c r="AB379" s="402"/>
      <c r="AC379" s="402"/>
      <c r="AD379" s="402"/>
      <c r="AE379" s="402"/>
      <c r="AF379" s="402"/>
      <c r="AG379" s="402"/>
      <c r="AH379" s="418"/>
      <c r="AI379" s="419"/>
      <c r="AJ379" s="419"/>
      <c r="AK379" s="419"/>
      <c r="AL379" s="419"/>
      <c r="AM379" s="423"/>
      <c r="AN379" s="423"/>
      <c r="AO379" s="423"/>
      <c r="AP379" s="423"/>
      <c r="AQ379" s="424"/>
      <c r="AU379" s="46"/>
      <c r="AV379" s="46"/>
      <c r="AW379" s="46"/>
    </row>
    <row r="380" spans="2:49" ht="13.15" hidden="1" customHeight="1" x14ac:dyDescent="0.2">
      <c r="B380" s="59"/>
      <c r="C380" s="65"/>
      <c r="D380" s="59"/>
      <c r="E380" s="52" t="s">
        <v>33</v>
      </c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66"/>
      <c r="S380" s="398" t="s">
        <v>34</v>
      </c>
      <c r="T380" s="399"/>
      <c r="U380" s="399"/>
      <c r="V380" s="399"/>
      <c r="W380" s="399"/>
      <c r="X380" s="399"/>
      <c r="Y380" s="402" t="str">
        <f>IF(($AU$9+11)&gt;$AX$9,"",Platzierung!$U$3)</f>
        <v/>
      </c>
      <c r="Z380" s="402"/>
      <c r="AA380" s="402"/>
      <c r="AB380" s="402"/>
      <c r="AC380" s="402"/>
      <c r="AD380" s="402"/>
      <c r="AE380" s="402"/>
      <c r="AF380" s="402"/>
      <c r="AG380" s="402"/>
      <c r="AH380" s="416" t="s">
        <v>35</v>
      </c>
      <c r="AI380" s="417"/>
      <c r="AJ380" s="417"/>
      <c r="AK380" s="417"/>
      <c r="AL380" s="417"/>
      <c r="AM380" s="420" t="str">
        <f>IF(($AU$9+11)&gt;$AX$9,"",VLOOKUP($AU$9+11,Spielplan,6,0))</f>
        <v/>
      </c>
      <c r="AN380" s="421"/>
      <c r="AO380" s="421"/>
      <c r="AP380" s="421"/>
      <c r="AQ380" s="422"/>
      <c r="AU380" s="46"/>
      <c r="AV380" s="46"/>
      <c r="AW380" s="46"/>
    </row>
    <row r="381" spans="2:49" ht="9.9499999999999993" hidden="1" customHeight="1" x14ac:dyDescent="0.2">
      <c r="B381" s="59"/>
      <c r="C381" s="65"/>
      <c r="D381" s="59"/>
      <c r="E381" s="52"/>
      <c r="F381" s="52"/>
      <c r="G381" s="52"/>
      <c r="H381" s="52"/>
      <c r="I381" s="52"/>
      <c r="J381" s="67" t="s">
        <v>36</v>
      </c>
      <c r="K381" s="52"/>
      <c r="L381" s="52"/>
      <c r="M381" s="52"/>
      <c r="N381" s="52"/>
      <c r="O381" s="52"/>
      <c r="P381" s="52"/>
      <c r="Q381" s="52"/>
      <c r="R381" s="66"/>
      <c r="S381" s="400"/>
      <c r="T381" s="399"/>
      <c r="U381" s="399"/>
      <c r="V381" s="399"/>
      <c r="W381" s="399"/>
      <c r="X381" s="399"/>
      <c r="Y381" s="402"/>
      <c r="Z381" s="402"/>
      <c r="AA381" s="402"/>
      <c r="AB381" s="402"/>
      <c r="AC381" s="402"/>
      <c r="AD381" s="402"/>
      <c r="AE381" s="402"/>
      <c r="AF381" s="402"/>
      <c r="AG381" s="402"/>
      <c r="AH381" s="418"/>
      <c r="AI381" s="419"/>
      <c r="AJ381" s="419"/>
      <c r="AK381" s="419"/>
      <c r="AL381" s="419"/>
      <c r="AM381" s="423"/>
      <c r="AN381" s="423"/>
      <c r="AO381" s="423"/>
      <c r="AP381" s="423"/>
      <c r="AQ381" s="424"/>
      <c r="AU381" s="46"/>
      <c r="AV381" s="46"/>
      <c r="AW381" s="46"/>
    </row>
    <row r="382" spans="2:49" ht="15.75" hidden="1" customHeight="1" x14ac:dyDescent="0.2">
      <c r="B382" s="59"/>
      <c r="C382" s="65"/>
      <c r="D382" s="394" t="str">
        <f>IF(($AU$9+11)&gt;$AX$9,"",VLOOKUP($AU$9+11,Spielplan,10,0))</f>
        <v/>
      </c>
      <c r="E382" s="395"/>
      <c r="F382" s="395"/>
      <c r="G382" s="395"/>
      <c r="H382" s="395"/>
      <c r="I382" s="395"/>
      <c r="J382" s="395"/>
      <c r="K382" s="395"/>
      <c r="L382" s="395"/>
      <c r="M382" s="395"/>
      <c r="N382" s="395"/>
      <c r="O382" s="395"/>
      <c r="P382" s="395"/>
      <c r="Q382" s="395"/>
      <c r="R382" s="396"/>
      <c r="S382" s="398" t="s">
        <v>37</v>
      </c>
      <c r="T382" s="399"/>
      <c r="U382" s="399"/>
      <c r="V382" s="399"/>
      <c r="W382" s="399"/>
      <c r="X382" s="399"/>
      <c r="Y382" s="401" t="str">
        <f>IF(($AU$9+11)&gt;$AX$9,"",VLOOKUP($AU$9+11,Spielplan,2,0))</f>
        <v/>
      </c>
      <c r="Z382" s="402"/>
      <c r="AA382" s="402"/>
      <c r="AB382" s="402"/>
      <c r="AC382" s="402"/>
      <c r="AD382" s="402"/>
      <c r="AE382" s="402"/>
      <c r="AF382" s="402"/>
      <c r="AG382" s="402"/>
      <c r="AH382" s="403" t="s">
        <v>38</v>
      </c>
      <c r="AI382" s="399"/>
      <c r="AJ382" s="399"/>
      <c r="AK382" s="399"/>
      <c r="AL382" s="399"/>
      <c r="AM382" s="425" t="str">
        <f>IF(($AU$9+11)&gt;$AX$9,"",VLOOKUP($AU$9+11,Spielplan,5,0))</f>
        <v/>
      </c>
      <c r="AN382" s="426"/>
      <c r="AO382" s="426"/>
      <c r="AP382" s="426"/>
      <c r="AQ382" s="427"/>
      <c r="AU382" s="46"/>
      <c r="AV382" s="46"/>
      <c r="AW382" s="46"/>
    </row>
    <row r="383" spans="2:49" ht="11.1" hidden="1" customHeight="1" thickBot="1" x14ac:dyDescent="0.25">
      <c r="B383" s="59"/>
      <c r="C383" s="65"/>
      <c r="D383" s="397"/>
      <c r="E383" s="395"/>
      <c r="F383" s="395"/>
      <c r="G383" s="395"/>
      <c r="H383" s="395"/>
      <c r="I383" s="395"/>
      <c r="J383" s="395"/>
      <c r="K383" s="395"/>
      <c r="L383" s="395"/>
      <c r="M383" s="395"/>
      <c r="N383" s="395"/>
      <c r="O383" s="395"/>
      <c r="P383" s="395"/>
      <c r="Q383" s="395"/>
      <c r="R383" s="396"/>
      <c r="S383" s="400"/>
      <c r="T383" s="399"/>
      <c r="U383" s="399"/>
      <c r="V383" s="399"/>
      <c r="W383" s="399"/>
      <c r="X383" s="399"/>
      <c r="Y383" s="402"/>
      <c r="Z383" s="402"/>
      <c r="AA383" s="402"/>
      <c r="AB383" s="402"/>
      <c r="AC383" s="402"/>
      <c r="AD383" s="402"/>
      <c r="AE383" s="402"/>
      <c r="AF383" s="402"/>
      <c r="AG383" s="402"/>
      <c r="AH383" s="404"/>
      <c r="AI383" s="405"/>
      <c r="AJ383" s="405"/>
      <c r="AK383" s="405"/>
      <c r="AL383" s="405"/>
      <c r="AM383" s="428"/>
      <c r="AN383" s="428"/>
      <c r="AO383" s="428"/>
      <c r="AP383" s="428"/>
      <c r="AQ383" s="429"/>
      <c r="AU383" s="46"/>
      <c r="AV383" s="46"/>
      <c r="AW383" s="46"/>
    </row>
    <row r="384" spans="2:49" ht="11.1" hidden="1" customHeight="1" thickBot="1" x14ac:dyDescent="0.25">
      <c r="B384" s="59"/>
      <c r="C384" s="65"/>
      <c r="D384" s="57"/>
      <c r="E384" s="58"/>
      <c r="F384" s="58"/>
      <c r="G384" s="58"/>
      <c r="H384" s="58"/>
      <c r="I384" s="58"/>
      <c r="J384" s="58" t="s">
        <v>39</v>
      </c>
      <c r="K384" s="58"/>
      <c r="L384" s="58"/>
      <c r="M384" s="58"/>
      <c r="N384" s="58"/>
      <c r="O384" s="52"/>
      <c r="P384" s="52"/>
      <c r="Q384" s="58"/>
      <c r="R384" s="68"/>
      <c r="S384" s="59"/>
      <c r="T384" s="52"/>
      <c r="U384" s="52"/>
      <c r="V384" s="52"/>
      <c r="W384" s="52"/>
      <c r="X384" s="52"/>
      <c r="Y384" s="430"/>
      <c r="Z384" s="430"/>
      <c r="AA384" s="430"/>
      <c r="AB384" s="430"/>
      <c r="AC384" s="430"/>
      <c r="AD384" s="430"/>
      <c r="AE384" s="430"/>
      <c r="AF384" s="431"/>
      <c r="AG384" s="432"/>
      <c r="AH384" s="69" t="s">
        <v>40</v>
      </c>
      <c r="AI384" s="52"/>
      <c r="AJ384" s="52"/>
      <c r="AK384" s="52"/>
      <c r="AL384" s="52"/>
      <c r="AM384" s="52"/>
      <c r="AN384" s="52"/>
      <c r="AO384" s="70"/>
      <c r="AP384" s="52"/>
      <c r="AQ384" s="66"/>
      <c r="AU384" s="46"/>
      <c r="AV384" s="46"/>
      <c r="AW384" s="46"/>
    </row>
    <row r="385" spans="2:49" ht="13.5" hidden="1" customHeight="1" thickBot="1" x14ac:dyDescent="0.3">
      <c r="B385" s="59"/>
      <c r="C385" s="65"/>
      <c r="D385" s="53"/>
      <c r="E385" s="63" t="s">
        <v>8</v>
      </c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388" t="s">
        <v>41</v>
      </c>
      <c r="R385" s="53"/>
      <c r="S385" s="53"/>
      <c r="T385" s="63" t="s">
        <v>7</v>
      </c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64"/>
      <c r="AF385" s="391" t="s">
        <v>41</v>
      </c>
      <c r="AG385" s="59"/>
      <c r="AH385" s="71" t="s">
        <v>42</v>
      </c>
      <c r="AI385" s="58"/>
      <c r="AJ385" s="58"/>
      <c r="AK385" s="58"/>
      <c r="AL385" s="58"/>
      <c r="AM385" s="58"/>
      <c r="AN385" s="58"/>
      <c r="AO385" s="72"/>
      <c r="AP385" s="52"/>
      <c r="AQ385" s="66"/>
      <c r="AU385" s="46"/>
      <c r="AV385" s="46"/>
      <c r="AW385" s="46"/>
    </row>
    <row r="386" spans="2:49" ht="12" hidden="1" customHeight="1" thickBot="1" x14ac:dyDescent="0.25">
      <c r="B386" s="59"/>
      <c r="C386" s="65"/>
      <c r="D386" s="394" t="str">
        <f>IF(($AU$9+11)&gt;$AX$9,"",VLOOKUP($AU$9+11,Spielplan,7,0))</f>
        <v/>
      </c>
      <c r="E386" s="395"/>
      <c r="F386" s="395"/>
      <c r="G386" s="395"/>
      <c r="H386" s="395"/>
      <c r="I386" s="395"/>
      <c r="J386" s="395"/>
      <c r="K386" s="395"/>
      <c r="L386" s="395"/>
      <c r="M386" s="395"/>
      <c r="N386" s="395"/>
      <c r="O386" s="395"/>
      <c r="P386" s="396"/>
      <c r="Q386" s="389"/>
      <c r="R386" s="59"/>
      <c r="S386" s="394" t="str">
        <f>IF(($AU$9+11)&gt;$AX$9,"",VLOOKUP($AU$9+11,Spielplan,9,0))</f>
        <v/>
      </c>
      <c r="T386" s="395"/>
      <c r="U386" s="395"/>
      <c r="V386" s="395"/>
      <c r="W386" s="395"/>
      <c r="X386" s="395"/>
      <c r="Y386" s="395"/>
      <c r="Z386" s="395"/>
      <c r="AA386" s="395"/>
      <c r="AB386" s="395"/>
      <c r="AC386" s="395"/>
      <c r="AD386" s="395"/>
      <c r="AE386" s="409"/>
      <c r="AF386" s="392"/>
      <c r="AG386" s="59"/>
      <c r="AH386" s="410" t="s">
        <v>43</v>
      </c>
      <c r="AI386" s="411"/>
      <c r="AJ386" s="411"/>
      <c r="AK386" s="411"/>
      <c r="AL386" s="411"/>
      <c r="AM386" s="412"/>
      <c r="AN386" s="73" t="s">
        <v>44</v>
      </c>
      <c r="AO386" s="74"/>
      <c r="AP386" s="74"/>
      <c r="AQ386" s="72"/>
      <c r="AU386" s="46"/>
      <c r="AV386" s="46"/>
      <c r="AW386" s="46"/>
    </row>
    <row r="387" spans="2:49" ht="12" hidden="1" customHeight="1" thickBot="1" x14ac:dyDescent="0.25">
      <c r="B387" s="57"/>
      <c r="C387" s="70"/>
      <c r="D387" s="406"/>
      <c r="E387" s="407"/>
      <c r="F387" s="407"/>
      <c r="G387" s="407"/>
      <c r="H387" s="407"/>
      <c r="I387" s="407"/>
      <c r="J387" s="407"/>
      <c r="K387" s="407"/>
      <c r="L387" s="407"/>
      <c r="M387" s="407"/>
      <c r="N387" s="407"/>
      <c r="O387" s="407"/>
      <c r="P387" s="408"/>
      <c r="Q387" s="390"/>
      <c r="R387" s="57"/>
      <c r="S387" s="406"/>
      <c r="T387" s="407"/>
      <c r="U387" s="407"/>
      <c r="V387" s="407"/>
      <c r="W387" s="407"/>
      <c r="X387" s="407"/>
      <c r="Y387" s="407"/>
      <c r="Z387" s="407"/>
      <c r="AA387" s="407"/>
      <c r="AB387" s="407"/>
      <c r="AC387" s="407"/>
      <c r="AD387" s="407"/>
      <c r="AE387" s="385"/>
      <c r="AF387" s="393"/>
      <c r="AG387" s="57"/>
      <c r="AH387" s="413"/>
      <c r="AI387" s="414"/>
      <c r="AJ387" s="414"/>
      <c r="AK387" s="414"/>
      <c r="AL387" s="414"/>
      <c r="AM387" s="415"/>
      <c r="AN387" s="73" t="s">
        <v>45</v>
      </c>
      <c r="AO387" s="74"/>
      <c r="AP387" s="74"/>
      <c r="AQ387" s="72"/>
      <c r="AU387" s="46"/>
      <c r="AV387" s="46"/>
      <c r="AW387" s="46"/>
    </row>
    <row r="388" spans="2:49" ht="9.9499999999999993" hidden="1" customHeight="1" thickBot="1" x14ac:dyDescent="0.25">
      <c r="B388" s="59"/>
      <c r="C388" s="59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66"/>
      <c r="AU388" s="46"/>
      <c r="AV388" s="46"/>
      <c r="AW388" s="46"/>
    </row>
    <row r="389" spans="2:49" hidden="1" x14ac:dyDescent="0.2">
      <c r="B389" s="53"/>
      <c r="C389" s="62" t="s">
        <v>44</v>
      </c>
      <c r="D389" s="75"/>
      <c r="E389" s="76"/>
      <c r="F389" s="76"/>
      <c r="G389" s="76"/>
      <c r="H389" s="77"/>
      <c r="I389" s="75"/>
      <c r="J389" s="76"/>
      <c r="K389" s="76"/>
      <c r="L389" s="76"/>
      <c r="M389" s="77"/>
      <c r="N389" s="75"/>
      <c r="O389" s="76"/>
      <c r="P389" s="76"/>
      <c r="Q389" s="76"/>
      <c r="R389" s="77"/>
      <c r="S389" s="75"/>
      <c r="T389" s="76"/>
      <c r="U389" s="76"/>
      <c r="V389" s="76"/>
      <c r="W389" s="77"/>
      <c r="X389" s="75"/>
      <c r="Y389" s="76"/>
      <c r="Z389" s="76"/>
      <c r="AA389" s="76"/>
      <c r="AB389" s="77"/>
      <c r="AC389" s="75"/>
      <c r="AD389" s="76"/>
      <c r="AE389" s="76"/>
      <c r="AF389" s="76"/>
      <c r="AG389" s="77"/>
      <c r="AH389" s="75"/>
      <c r="AI389" s="76"/>
      <c r="AJ389" s="76"/>
      <c r="AK389" s="76"/>
      <c r="AL389" s="76"/>
      <c r="AM389" s="188" t="s">
        <v>44</v>
      </c>
      <c r="AN389" s="386"/>
      <c r="AO389" s="386"/>
      <c r="AP389" s="386"/>
      <c r="AQ389" s="387"/>
      <c r="AU389" s="46"/>
      <c r="AV389" s="46"/>
      <c r="AW389" s="46"/>
    </row>
    <row r="390" spans="2:49" ht="13.5" hidden="1" thickBot="1" x14ac:dyDescent="0.25">
      <c r="B390" s="57"/>
      <c r="C390" s="70" t="s">
        <v>45</v>
      </c>
      <c r="D390" s="57"/>
      <c r="E390" s="78"/>
      <c r="F390" s="78"/>
      <c r="G390" s="78"/>
      <c r="H390" s="79"/>
      <c r="I390" s="57"/>
      <c r="J390" s="78"/>
      <c r="K390" s="78"/>
      <c r="L390" s="78"/>
      <c r="M390" s="79"/>
      <c r="N390" s="57"/>
      <c r="O390" s="78"/>
      <c r="P390" s="78"/>
      <c r="Q390" s="78"/>
      <c r="R390" s="79"/>
      <c r="S390" s="57"/>
      <c r="T390" s="78"/>
      <c r="U390" s="78"/>
      <c r="V390" s="78"/>
      <c r="W390" s="79"/>
      <c r="X390" s="57"/>
      <c r="Y390" s="78"/>
      <c r="Z390" s="78"/>
      <c r="AA390" s="78"/>
      <c r="AB390" s="79"/>
      <c r="AC390" s="57"/>
      <c r="AD390" s="78"/>
      <c r="AE390" s="78"/>
      <c r="AF390" s="78"/>
      <c r="AG390" s="79"/>
      <c r="AH390" s="57"/>
      <c r="AI390" s="78"/>
      <c r="AJ390" s="78"/>
      <c r="AK390" s="78"/>
      <c r="AL390" s="78"/>
      <c r="AM390" s="190" t="s">
        <v>45</v>
      </c>
      <c r="AN390" s="323"/>
      <c r="AO390" s="323"/>
      <c r="AP390" s="323"/>
      <c r="AQ390" s="324"/>
      <c r="AU390" s="46"/>
      <c r="AV390" s="46"/>
      <c r="AW390" s="46"/>
    </row>
    <row r="391" spans="2:49" hidden="1" x14ac:dyDescent="0.2">
      <c r="B391" s="53"/>
      <c r="C391" s="62" t="s">
        <v>44</v>
      </c>
      <c r="D391" s="75"/>
      <c r="E391" s="76"/>
      <c r="F391" s="76"/>
      <c r="G391" s="76"/>
      <c r="H391" s="77"/>
      <c r="I391" s="75"/>
      <c r="J391" s="76"/>
      <c r="K391" s="76"/>
      <c r="L391" s="76"/>
      <c r="M391" s="77"/>
      <c r="N391" s="75"/>
      <c r="O391" s="76"/>
      <c r="P391" s="76"/>
      <c r="Q391" s="76"/>
      <c r="R391" s="77"/>
      <c r="S391" s="75"/>
      <c r="T391" s="76"/>
      <c r="U391" s="76"/>
      <c r="V391" s="76"/>
      <c r="W391" s="77"/>
      <c r="X391" s="75"/>
      <c r="Y391" s="76"/>
      <c r="Z391" s="76"/>
      <c r="AA391" s="76"/>
      <c r="AB391" s="77"/>
      <c r="AC391" s="75"/>
      <c r="AD391" s="76"/>
      <c r="AE391" s="76"/>
      <c r="AF391" s="76"/>
      <c r="AG391" s="77"/>
      <c r="AH391" s="75"/>
      <c r="AI391" s="76"/>
      <c r="AJ391" s="76"/>
      <c r="AK391" s="76"/>
      <c r="AL391" s="76"/>
      <c r="AM391" s="188" t="s">
        <v>44</v>
      </c>
      <c r="AN391" s="386"/>
      <c r="AO391" s="386"/>
      <c r="AP391" s="386"/>
      <c r="AQ391" s="387"/>
      <c r="AU391" s="46"/>
      <c r="AV391" s="46"/>
      <c r="AW391" s="46"/>
    </row>
    <row r="392" spans="2:49" ht="13.5" hidden="1" thickBot="1" x14ac:dyDescent="0.25">
      <c r="B392" s="57"/>
      <c r="C392" s="70" t="s">
        <v>45</v>
      </c>
      <c r="D392" s="57"/>
      <c r="E392" s="78"/>
      <c r="F392" s="78"/>
      <c r="G392" s="78"/>
      <c r="H392" s="79"/>
      <c r="I392" s="57"/>
      <c r="J392" s="78"/>
      <c r="K392" s="78"/>
      <c r="L392" s="78"/>
      <c r="M392" s="79"/>
      <c r="N392" s="57"/>
      <c r="O392" s="78"/>
      <c r="P392" s="78"/>
      <c r="Q392" s="78"/>
      <c r="R392" s="79"/>
      <c r="S392" s="57"/>
      <c r="T392" s="78"/>
      <c r="U392" s="78"/>
      <c r="V392" s="78"/>
      <c r="W392" s="79"/>
      <c r="X392" s="57"/>
      <c r="Y392" s="78"/>
      <c r="Z392" s="78"/>
      <c r="AA392" s="78"/>
      <c r="AB392" s="79"/>
      <c r="AC392" s="57"/>
      <c r="AD392" s="78"/>
      <c r="AE392" s="78"/>
      <c r="AF392" s="78"/>
      <c r="AG392" s="79"/>
      <c r="AH392" s="57"/>
      <c r="AI392" s="78"/>
      <c r="AJ392" s="78"/>
      <c r="AK392" s="78"/>
      <c r="AL392" s="78"/>
      <c r="AM392" s="189" t="s">
        <v>45</v>
      </c>
      <c r="AN392" s="338"/>
      <c r="AO392" s="338"/>
      <c r="AP392" s="338"/>
      <c r="AQ392" s="339"/>
      <c r="AU392" s="46"/>
      <c r="AV392" s="46"/>
      <c r="AW392" s="46"/>
    </row>
    <row r="393" spans="2:49" hidden="1" x14ac:dyDescent="0.2">
      <c r="B393" s="53"/>
      <c r="C393" s="62" t="s">
        <v>44</v>
      </c>
      <c r="D393" s="75"/>
      <c r="E393" s="76"/>
      <c r="F393" s="76"/>
      <c r="G393" s="76"/>
      <c r="H393" s="77"/>
      <c r="I393" s="75"/>
      <c r="J393" s="76"/>
      <c r="K393" s="76"/>
      <c r="L393" s="76"/>
      <c r="M393" s="77"/>
      <c r="N393" s="75"/>
      <c r="O393" s="76"/>
      <c r="P393" s="76"/>
      <c r="Q393" s="76"/>
      <c r="R393" s="77"/>
      <c r="S393" s="75"/>
      <c r="T393" s="76"/>
      <c r="U393" s="76"/>
      <c r="V393" s="76"/>
      <c r="W393" s="77"/>
      <c r="X393" s="75"/>
      <c r="Y393" s="76"/>
      <c r="Z393" s="76"/>
      <c r="AA393" s="76"/>
      <c r="AB393" s="77"/>
      <c r="AC393" s="75"/>
      <c r="AD393" s="76"/>
      <c r="AE393" s="76"/>
      <c r="AF393" s="76"/>
      <c r="AG393" s="77"/>
      <c r="AH393" s="75"/>
      <c r="AI393" s="76"/>
      <c r="AJ393" s="76"/>
      <c r="AK393" s="76"/>
      <c r="AL393" s="76"/>
      <c r="AM393" s="188" t="s">
        <v>44</v>
      </c>
      <c r="AN393" s="386"/>
      <c r="AO393" s="386"/>
      <c r="AP393" s="386"/>
      <c r="AQ393" s="387"/>
      <c r="AU393" s="46"/>
      <c r="AV393" s="46"/>
      <c r="AW393" s="46"/>
    </row>
    <row r="394" spans="2:49" ht="13.5" hidden="1" thickBot="1" x14ac:dyDescent="0.25">
      <c r="B394" s="57"/>
      <c r="C394" s="70" t="s">
        <v>45</v>
      </c>
      <c r="D394" s="57"/>
      <c r="E394" s="78"/>
      <c r="F394" s="78"/>
      <c r="G394" s="78"/>
      <c r="H394" s="79"/>
      <c r="I394" s="57"/>
      <c r="J394" s="78"/>
      <c r="K394" s="78"/>
      <c r="L394" s="78"/>
      <c r="M394" s="79"/>
      <c r="N394" s="57"/>
      <c r="O394" s="78"/>
      <c r="P394" s="78"/>
      <c r="Q394" s="78"/>
      <c r="R394" s="79"/>
      <c r="S394" s="57"/>
      <c r="T394" s="78"/>
      <c r="U394" s="78"/>
      <c r="V394" s="78"/>
      <c r="W394" s="79"/>
      <c r="X394" s="57"/>
      <c r="Y394" s="78"/>
      <c r="Z394" s="78"/>
      <c r="AA394" s="78"/>
      <c r="AB394" s="79"/>
      <c r="AC394" s="57"/>
      <c r="AD394" s="78"/>
      <c r="AE394" s="78"/>
      <c r="AF394" s="78"/>
      <c r="AG394" s="79"/>
      <c r="AH394" s="57"/>
      <c r="AI394" s="78"/>
      <c r="AJ394" s="78"/>
      <c r="AK394" s="78"/>
      <c r="AL394" s="78"/>
      <c r="AM394" s="189" t="s">
        <v>45</v>
      </c>
      <c r="AN394" s="338"/>
      <c r="AO394" s="338"/>
      <c r="AP394" s="338"/>
      <c r="AQ394" s="339"/>
      <c r="AU394" s="46"/>
      <c r="AV394" s="46"/>
      <c r="AW394" s="46"/>
    </row>
    <row r="395" spans="2:49" ht="9.9499999999999993" hidden="1" customHeight="1" x14ac:dyDescent="0.2">
      <c r="B395" s="59"/>
      <c r="C395" s="59"/>
      <c r="D395" s="374" t="s">
        <v>46</v>
      </c>
      <c r="E395" s="375"/>
      <c r="F395" s="376"/>
      <c r="G395" s="380" t="s">
        <v>47</v>
      </c>
      <c r="H395" s="381"/>
      <c r="I395" s="381"/>
      <c r="J395" s="381"/>
      <c r="K395" s="381"/>
      <c r="L395" s="381"/>
      <c r="M395" s="381"/>
      <c r="N395" s="381"/>
      <c r="O395" s="382"/>
      <c r="P395" s="359" t="s">
        <v>41</v>
      </c>
      <c r="Q395" s="359" t="s">
        <v>48</v>
      </c>
      <c r="R395" s="52"/>
      <c r="S395" s="374" t="s">
        <v>46</v>
      </c>
      <c r="T395" s="375"/>
      <c r="U395" s="376"/>
      <c r="V395" s="380" t="s">
        <v>47</v>
      </c>
      <c r="W395" s="381"/>
      <c r="X395" s="381"/>
      <c r="Y395" s="381"/>
      <c r="Z395" s="381"/>
      <c r="AA395" s="381"/>
      <c r="AB395" s="381"/>
      <c r="AC395" s="381"/>
      <c r="AD395" s="382"/>
      <c r="AE395" s="359" t="s">
        <v>41</v>
      </c>
      <c r="AF395" s="359" t="s">
        <v>48</v>
      </c>
      <c r="AG395" s="80"/>
      <c r="AH395" s="81"/>
      <c r="AI395" s="81"/>
      <c r="AJ395" s="81"/>
      <c r="AK395" s="81"/>
      <c r="AL395" s="81"/>
      <c r="AM395" s="99"/>
      <c r="AN395" s="373" t="s">
        <v>1</v>
      </c>
      <c r="AO395" s="373"/>
      <c r="AP395" s="373" t="s">
        <v>2</v>
      </c>
      <c r="AQ395" s="373"/>
      <c r="AR395" s="82"/>
      <c r="AU395" s="46"/>
      <c r="AV395" s="46"/>
      <c r="AW395" s="46"/>
    </row>
    <row r="396" spans="2:49" ht="13.5" hidden="1" thickBot="1" x14ac:dyDescent="0.25">
      <c r="B396" s="59"/>
      <c r="C396" s="59"/>
      <c r="D396" s="377"/>
      <c r="E396" s="378"/>
      <c r="F396" s="379"/>
      <c r="G396" s="383"/>
      <c r="H396" s="384"/>
      <c r="I396" s="384"/>
      <c r="J396" s="384"/>
      <c r="K396" s="384"/>
      <c r="L396" s="384"/>
      <c r="M396" s="384"/>
      <c r="N396" s="384"/>
      <c r="O396" s="385"/>
      <c r="P396" s="360"/>
      <c r="Q396" s="360"/>
      <c r="R396" s="52"/>
      <c r="S396" s="377"/>
      <c r="T396" s="378"/>
      <c r="U396" s="379"/>
      <c r="V396" s="383"/>
      <c r="W396" s="384"/>
      <c r="X396" s="384"/>
      <c r="Y396" s="384"/>
      <c r="Z396" s="384"/>
      <c r="AA396" s="384"/>
      <c r="AB396" s="384"/>
      <c r="AC396" s="384"/>
      <c r="AD396" s="385"/>
      <c r="AE396" s="360"/>
      <c r="AF396" s="360"/>
      <c r="AG396" s="83"/>
      <c r="AH396" s="52"/>
      <c r="AI396" s="84" t="s">
        <v>49</v>
      </c>
      <c r="AJ396" s="84"/>
      <c r="AK396" s="84"/>
      <c r="AL396" s="84"/>
      <c r="AM396" s="84"/>
      <c r="AN396" s="84"/>
      <c r="AO396" s="85"/>
      <c r="AP396" s="85"/>
      <c r="AQ396" s="86"/>
      <c r="AR396" s="82"/>
      <c r="AU396" s="46"/>
      <c r="AV396" s="46"/>
      <c r="AW396" s="46"/>
    </row>
    <row r="397" spans="2:49" ht="13.5" hidden="1" customHeight="1" x14ac:dyDescent="0.2">
      <c r="B397" s="59"/>
      <c r="C397" s="59"/>
      <c r="D397" s="198"/>
      <c r="E397" s="191"/>
      <c r="F397" s="192"/>
      <c r="G397" s="193" t="s">
        <v>50</v>
      </c>
      <c r="H397" s="194"/>
      <c r="I397" s="194"/>
      <c r="J397" s="194"/>
      <c r="K397" s="194"/>
      <c r="L397" s="194"/>
      <c r="M397" s="194"/>
      <c r="N397" s="194"/>
      <c r="O397" s="195"/>
      <c r="P397" s="196"/>
      <c r="Q397" s="196"/>
      <c r="R397" s="197"/>
      <c r="S397" s="198"/>
      <c r="T397" s="191"/>
      <c r="U397" s="192"/>
      <c r="V397" s="193" t="s">
        <v>50</v>
      </c>
      <c r="W397" s="194"/>
      <c r="X397" s="194"/>
      <c r="Y397" s="194"/>
      <c r="Z397" s="194"/>
      <c r="AA397" s="194"/>
      <c r="AB397" s="194"/>
      <c r="AC397" s="194"/>
      <c r="AD397" s="195"/>
      <c r="AE397" s="196"/>
      <c r="AF397" s="196"/>
      <c r="AG397" s="361" t="s">
        <v>68</v>
      </c>
      <c r="AH397" s="362"/>
      <c r="AI397" s="362"/>
      <c r="AJ397" s="363"/>
      <c r="AK397" s="367" t="s">
        <v>51</v>
      </c>
      <c r="AL397" s="368"/>
      <c r="AM397" s="368"/>
      <c r="AN397" s="368"/>
      <c r="AO397" s="368"/>
      <c r="AP397" s="368"/>
      <c r="AQ397" s="369"/>
      <c r="AU397" s="46"/>
      <c r="AV397" s="46"/>
      <c r="AW397" s="46"/>
    </row>
    <row r="398" spans="2:49" ht="13.5" hidden="1" customHeight="1" thickBot="1" x14ac:dyDescent="0.25">
      <c r="B398" s="59"/>
      <c r="C398" s="59"/>
      <c r="D398" s="198"/>
      <c r="E398" s="191"/>
      <c r="F398" s="192"/>
      <c r="G398" s="199">
        <v>2</v>
      </c>
      <c r="H398" s="191"/>
      <c r="I398" s="191"/>
      <c r="J398" s="191"/>
      <c r="K398" s="191"/>
      <c r="L398" s="191"/>
      <c r="M398" s="191"/>
      <c r="N398" s="191"/>
      <c r="O398" s="192"/>
      <c r="P398" s="196"/>
      <c r="Q398" s="196"/>
      <c r="R398" s="197"/>
      <c r="S398" s="198"/>
      <c r="T398" s="191"/>
      <c r="U398" s="192"/>
      <c r="V398" s="199">
        <v>2</v>
      </c>
      <c r="W398" s="191"/>
      <c r="X398" s="191"/>
      <c r="Y398" s="191"/>
      <c r="Z398" s="191"/>
      <c r="AA398" s="191"/>
      <c r="AB398" s="191"/>
      <c r="AC398" s="191"/>
      <c r="AD398" s="192"/>
      <c r="AE398" s="196"/>
      <c r="AF398" s="196"/>
      <c r="AG398" s="364"/>
      <c r="AH398" s="365"/>
      <c r="AI398" s="365"/>
      <c r="AJ398" s="366"/>
      <c r="AK398" s="370"/>
      <c r="AL398" s="371"/>
      <c r="AM398" s="371"/>
      <c r="AN398" s="371"/>
      <c r="AO398" s="371"/>
      <c r="AP398" s="371"/>
      <c r="AQ398" s="372"/>
      <c r="AU398" s="46"/>
      <c r="AV398" s="46"/>
      <c r="AW398" s="46"/>
    </row>
    <row r="399" spans="2:49" ht="13.5" hidden="1" customHeight="1" x14ac:dyDescent="0.2">
      <c r="B399" s="59"/>
      <c r="C399" s="59"/>
      <c r="D399" s="198"/>
      <c r="E399" s="191"/>
      <c r="F399" s="192"/>
      <c r="G399" s="199">
        <v>3</v>
      </c>
      <c r="H399" s="191"/>
      <c r="I399" s="191"/>
      <c r="J399" s="191"/>
      <c r="K399" s="191"/>
      <c r="L399" s="191"/>
      <c r="M399" s="191"/>
      <c r="N399" s="191"/>
      <c r="O399" s="192"/>
      <c r="P399" s="196"/>
      <c r="Q399" s="196"/>
      <c r="R399" s="197"/>
      <c r="S399" s="198"/>
      <c r="T399" s="191"/>
      <c r="U399" s="192"/>
      <c r="V399" s="199">
        <v>3</v>
      </c>
      <c r="W399" s="191"/>
      <c r="X399" s="191"/>
      <c r="Y399" s="191"/>
      <c r="Z399" s="191"/>
      <c r="AA399" s="191"/>
      <c r="AB399" s="191"/>
      <c r="AC399" s="191"/>
      <c r="AD399" s="192"/>
      <c r="AE399" s="196"/>
      <c r="AF399" s="196"/>
      <c r="AG399" s="361" t="s">
        <v>2</v>
      </c>
      <c r="AH399" s="362"/>
      <c r="AI399" s="362"/>
      <c r="AJ399" s="363"/>
      <c r="AK399" s="367" t="s">
        <v>51</v>
      </c>
      <c r="AL399" s="368"/>
      <c r="AM399" s="368"/>
      <c r="AN399" s="368"/>
      <c r="AO399" s="368"/>
      <c r="AP399" s="368"/>
      <c r="AQ399" s="369"/>
      <c r="AU399" s="46"/>
      <c r="AV399" s="46"/>
      <c r="AW399" s="46"/>
    </row>
    <row r="400" spans="2:49" ht="13.5" hidden="1" customHeight="1" thickBot="1" x14ac:dyDescent="0.25">
      <c r="B400" s="59"/>
      <c r="C400" s="59"/>
      <c r="D400" s="198"/>
      <c r="E400" s="191"/>
      <c r="F400" s="192"/>
      <c r="G400" s="199">
        <v>4</v>
      </c>
      <c r="H400" s="191"/>
      <c r="I400" s="191"/>
      <c r="J400" s="191"/>
      <c r="K400" s="191"/>
      <c r="L400" s="191"/>
      <c r="M400" s="191"/>
      <c r="N400" s="191"/>
      <c r="O400" s="192"/>
      <c r="P400" s="196"/>
      <c r="Q400" s="196"/>
      <c r="R400" s="197"/>
      <c r="S400" s="198"/>
      <c r="T400" s="191"/>
      <c r="U400" s="192"/>
      <c r="V400" s="199">
        <v>4</v>
      </c>
      <c r="W400" s="191"/>
      <c r="X400" s="191"/>
      <c r="Y400" s="191"/>
      <c r="Z400" s="191"/>
      <c r="AA400" s="191"/>
      <c r="AB400" s="191"/>
      <c r="AC400" s="191"/>
      <c r="AD400" s="192"/>
      <c r="AE400" s="196"/>
      <c r="AF400" s="196"/>
      <c r="AG400" s="364"/>
      <c r="AH400" s="365"/>
      <c r="AI400" s="365"/>
      <c r="AJ400" s="366"/>
      <c r="AK400" s="370"/>
      <c r="AL400" s="371"/>
      <c r="AM400" s="371"/>
      <c r="AN400" s="371"/>
      <c r="AO400" s="371"/>
      <c r="AP400" s="371"/>
      <c r="AQ400" s="372"/>
      <c r="AU400" s="46"/>
      <c r="AV400" s="46"/>
      <c r="AW400" s="46"/>
    </row>
    <row r="401" spans="2:49" ht="13.5" hidden="1" customHeight="1" x14ac:dyDescent="0.2">
      <c r="B401" s="59"/>
      <c r="C401" s="59"/>
      <c r="D401" s="198"/>
      <c r="E401" s="191"/>
      <c r="F401" s="192"/>
      <c r="G401" s="199">
        <v>5</v>
      </c>
      <c r="H401" s="191"/>
      <c r="I401" s="191"/>
      <c r="J401" s="191"/>
      <c r="K401" s="191"/>
      <c r="L401" s="191"/>
      <c r="M401" s="191"/>
      <c r="N401" s="191"/>
      <c r="O401" s="192"/>
      <c r="P401" s="196"/>
      <c r="Q401" s="196"/>
      <c r="R401" s="197"/>
      <c r="S401" s="198"/>
      <c r="T401" s="191"/>
      <c r="U401" s="192"/>
      <c r="V401" s="199">
        <v>5</v>
      </c>
      <c r="W401" s="191"/>
      <c r="X401" s="191"/>
      <c r="Y401" s="191"/>
      <c r="Z401" s="191"/>
      <c r="AA401" s="191"/>
      <c r="AB401" s="191"/>
      <c r="AC401" s="191"/>
      <c r="AD401" s="192"/>
      <c r="AE401" s="196"/>
      <c r="AF401" s="196"/>
      <c r="AG401" s="87" t="s">
        <v>52</v>
      </c>
      <c r="AH401" s="55"/>
      <c r="AI401" s="55"/>
      <c r="AJ401" s="55"/>
      <c r="AK401" s="55"/>
      <c r="AL401" s="55"/>
      <c r="AM401" s="55"/>
      <c r="AN401" s="55"/>
      <c r="AO401" s="55" t="s">
        <v>53</v>
      </c>
      <c r="AP401" s="55"/>
      <c r="AQ401" s="64"/>
      <c r="AU401" s="46"/>
      <c r="AV401" s="46"/>
      <c r="AW401" s="46"/>
    </row>
    <row r="402" spans="2:49" ht="13.5" hidden="1" customHeight="1" x14ac:dyDescent="0.2">
      <c r="B402" s="59"/>
      <c r="C402" s="59"/>
      <c r="D402" s="198"/>
      <c r="E402" s="191"/>
      <c r="F402" s="192"/>
      <c r="G402" s="199">
        <v>6</v>
      </c>
      <c r="H402" s="191"/>
      <c r="I402" s="191"/>
      <c r="J402" s="191"/>
      <c r="K402" s="191"/>
      <c r="L402" s="191"/>
      <c r="M402" s="191"/>
      <c r="N402" s="191"/>
      <c r="O402" s="192"/>
      <c r="P402" s="196"/>
      <c r="Q402" s="196"/>
      <c r="R402" s="197"/>
      <c r="S402" s="198"/>
      <c r="T402" s="191"/>
      <c r="U402" s="192"/>
      <c r="V402" s="199">
        <v>6</v>
      </c>
      <c r="W402" s="191"/>
      <c r="X402" s="191"/>
      <c r="Y402" s="191"/>
      <c r="Z402" s="191"/>
      <c r="AA402" s="191"/>
      <c r="AB402" s="191"/>
      <c r="AC402" s="191"/>
      <c r="AD402" s="192"/>
      <c r="AE402" s="196"/>
      <c r="AF402" s="196"/>
      <c r="AG402" s="88"/>
      <c r="AH402" s="52"/>
      <c r="AI402" s="52"/>
      <c r="AJ402" s="52"/>
      <c r="AK402" s="52"/>
      <c r="AL402" s="52"/>
      <c r="AM402" s="52"/>
      <c r="AN402" s="52"/>
      <c r="AO402" s="52"/>
      <c r="AP402" s="52"/>
      <c r="AQ402" s="66"/>
      <c r="AU402" s="46"/>
      <c r="AV402" s="46"/>
      <c r="AW402" s="46"/>
    </row>
    <row r="403" spans="2:49" ht="13.5" hidden="1" customHeight="1" thickBot="1" x14ac:dyDescent="0.25">
      <c r="B403" s="59"/>
      <c r="C403" s="59"/>
      <c r="D403" s="198"/>
      <c r="E403" s="191"/>
      <c r="F403" s="192"/>
      <c r="G403" s="199">
        <v>7</v>
      </c>
      <c r="H403" s="191"/>
      <c r="I403" s="191"/>
      <c r="J403" s="191"/>
      <c r="K403" s="191"/>
      <c r="L403" s="191"/>
      <c r="M403" s="191"/>
      <c r="N403" s="191"/>
      <c r="O403" s="192"/>
      <c r="P403" s="196"/>
      <c r="Q403" s="196"/>
      <c r="R403" s="197"/>
      <c r="S403" s="198"/>
      <c r="T403" s="191"/>
      <c r="U403" s="192"/>
      <c r="V403" s="199">
        <v>7</v>
      </c>
      <c r="W403" s="191"/>
      <c r="X403" s="191"/>
      <c r="Y403" s="191"/>
      <c r="Z403" s="191"/>
      <c r="AA403" s="191"/>
      <c r="AB403" s="191"/>
      <c r="AC403" s="191"/>
      <c r="AD403" s="192"/>
      <c r="AE403" s="196"/>
      <c r="AF403" s="196"/>
      <c r="AG403" s="59" t="s">
        <v>54</v>
      </c>
      <c r="AH403" s="52"/>
      <c r="AI403" s="52"/>
      <c r="AJ403" s="52"/>
      <c r="AK403" s="52"/>
      <c r="AL403" s="52"/>
      <c r="AM403" s="52"/>
      <c r="AN403" s="52"/>
      <c r="AO403" s="52"/>
      <c r="AP403" s="52"/>
      <c r="AQ403" s="66"/>
      <c r="AU403" s="46"/>
      <c r="AV403" s="46"/>
      <c r="AW403" s="46"/>
    </row>
    <row r="404" spans="2:49" ht="13.5" hidden="1" customHeight="1" thickBot="1" x14ac:dyDescent="0.25">
      <c r="B404" s="59"/>
      <c r="C404" s="59"/>
      <c r="D404" s="204"/>
      <c r="E404" s="200"/>
      <c r="F404" s="201"/>
      <c r="G404" s="202">
        <v>8</v>
      </c>
      <c r="H404" s="200"/>
      <c r="I404" s="200"/>
      <c r="J404" s="200"/>
      <c r="K404" s="200"/>
      <c r="L404" s="200"/>
      <c r="M404" s="200"/>
      <c r="N404" s="200"/>
      <c r="O404" s="201"/>
      <c r="P404" s="203"/>
      <c r="Q404" s="203"/>
      <c r="R404" s="197"/>
      <c r="S404" s="204"/>
      <c r="T404" s="200"/>
      <c r="U404" s="201"/>
      <c r="V404" s="202">
        <v>8</v>
      </c>
      <c r="W404" s="200"/>
      <c r="X404" s="200"/>
      <c r="Y404" s="200"/>
      <c r="Z404" s="200"/>
      <c r="AA404" s="200"/>
      <c r="AB404" s="200"/>
      <c r="AC404" s="200"/>
      <c r="AD404" s="201"/>
      <c r="AE404" s="203"/>
      <c r="AF404" s="203"/>
      <c r="AG404" s="89" t="s">
        <v>55</v>
      </c>
      <c r="AH404" s="55"/>
      <c r="AI404" s="55"/>
      <c r="AJ404" s="55"/>
      <c r="AK404" s="55"/>
      <c r="AL404" s="55"/>
      <c r="AM404" s="55"/>
      <c r="AN404" s="55"/>
      <c r="AO404" s="55"/>
      <c r="AP404" s="55"/>
      <c r="AQ404" s="64"/>
      <c r="AU404" s="46"/>
      <c r="AV404" s="46"/>
      <c r="AW404" s="46"/>
    </row>
    <row r="405" spans="2:49" ht="13.5" hidden="1" customHeight="1" thickBot="1" x14ac:dyDescent="0.25">
      <c r="B405" s="59"/>
      <c r="C405" s="59"/>
      <c r="D405" s="74"/>
      <c r="E405" s="90"/>
      <c r="F405" s="90"/>
      <c r="G405" s="90"/>
      <c r="H405" s="90"/>
      <c r="I405" s="90"/>
      <c r="J405" s="91" t="s">
        <v>56</v>
      </c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  <c r="AA405" s="90"/>
      <c r="AB405" s="90"/>
      <c r="AC405" s="90"/>
      <c r="AD405" s="90"/>
      <c r="AE405" s="90"/>
      <c r="AF405" s="92"/>
      <c r="AG405" s="69" t="s">
        <v>57</v>
      </c>
      <c r="AH405" s="52"/>
      <c r="AI405" s="52"/>
      <c r="AJ405" s="52"/>
      <c r="AK405" s="52"/>
      <c r="AL405" s="52"/>
      <c r="AM405" s="52"/>
      <c r="AN405" s="52"/>
      <c r="AO405" s="52"/>
      <c r="AP405" s="52"/>
      <c r="AQ405" s="66"/>
      <c r="AU405" s="46"/>
      <c r="AV405" s="46"/>
      <c r="AW405" s="46"/>
    </row>
    <row r="406" spans="2:49" ht="13.5" hidden="1" customHeight="1" thickBot="1" x14ac:dyDescent="0.25">
      <c r="B406" s="59"/>
      <c r="C406" s="59"/>
      <c r="D406" s="93" t="s">
        <v>58</v>
      </c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2"/>
      <c r="S406" s="93" t="s">
        <v>59</v>
      </c>
      <c r="T406" s="90"/>
      <c r="U406" s="90"/>
      <c r="V406" s="90"/>
      <c r="W406" s="90"/>
      <c r="X406" s="90"/>
      <c r="Y406" s="90"/>
      <c r="Z406" s="90"/>
      <c r="AA406" s="90"/>
      <c r="AB406" s="90"/>
      <c r="AC406" s="90"/>
      <c r="AD406" s="90"/>
      <c r="AE406" s="90"/>
      <c r="AF406" s="92"/>
      <c r="AG406" s="94" t="s">
        <v>60</v>
      </c>
      <c r="AH406" s="95"/>
      <c r="AI406" s="95"/>
      <c r="AJ406" s="95"/>
      <c r="AK406" s="95"/>
      <c r="AL406" s="72"/>
      <c r="AM406" s="96" t="s">
        <v>61</v>
      </c>
      <c r="AN406" s="95"/>
      <c r="AO406" s="95"/>
      <c r="AP406" s="95"/>
      <c r="AQ406" s="72"/>
      <c r="AU406" s="46"/>
      <c r="AV406" s="46"/>
      <c r="AW406" s="46"/>
    </row>
    <row r="407" spans="2:49" ht="17.25" hidden="1" customHeight="1" thickBot="1" x14ac:dyDescent="0.25">
      <c r="B407" s="57"/>
      <c r="C407" s="57"/>
      <c r="D407" s="93" t="s">
        <v>62</v>
      </c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2"/>
      <c r="S407" s="93" t="s">
        <v>6</v>
      </c>
      <c r="T407" s="90"/>
      <c r="U407" s="90"/>
      <c r="V407" s="90"/>
      <c r="W407" s="90"/>
      <c r="X407" s="90"/>
      <c r="Y407" s="90"/>
      <c r="Z407" s="90"/>
      <c r="AA407" s="90"/>
      <c r="AB407" s="90"/>
      <c r="AC407" s="90"/>
      <c r="AD407" s="90"/>
      <c r="AE407" s="90"/>
      <c r="AF407" s="92"/>
      <c r="AG407" s="97" t="s">
        <v>63</v>
      </c>
      <c r="AH407" s="58"/>
      <c r="AI407" s="58"/>
      <c r="AJ407" s="58"/>
      <c r="AK407" s="58"/>
      <c r="AL407" s="72"/>
      <c r="AM407" s="98" t="s">
        <v>64</v>
      </c>
      <c r="AN407" s="58"/>
      <c r="AO407" s="58"/>
      <c r="AP407" s="58"/>
      <c r="AQ407" s="72"/>
      <c r="AU407" s="46"/>
      <c r="AV407" s="46"/>
      <c r="AW407" s="46"/>
    </row>
    <row r="408" spans="2:49" hidden="1" x14ac:dyDescent="0.2">
      <c r="AU408" s="46"/>
      <c r="AV408" s="46"/>
      <c r="AW408" s="46"/>
    </row>
    <row r="409" spans="2:49" ht="15.75" hidden="1" customHeight="1" thickBot="1" x14ac:dyDescent="0.25">
      <c r="AA409" s="52"/>
      <c r="AB409" s="52"/>
      <c r="AC409" s="52"/>
      <c r="AD409" s="52"/>
      <c r="AE409" s="52"/>
      <c r="AF409" s="52"/>
      <c r="AG409" s="52"/>
      <c r="AH409" s="52"/>
      <c r="AU409" s="46"/>
      <c r="AV409" s="46"/>
      <c r="AW409" s="46"/>
    </row>
    <row r="410" spans="2:49" ht="17.25" hidden="1" customHeight="1" x14ac:dyDescent="0.25">
      <c r="B410" s="53"/>
      <c r="C410" s="53"/>
      <c r="D410" s="54" t="s">
        <v>29</v>
      </c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6" t="s">
        <v>73</v>
      </c>
      <c r="Z410" s="55"/>
      <c r="AA410" s="55"/>
      <c r="AB410" s="55"/>
      <c r="AC410" s="55"/>
      <c r="AD410" s="55"/>
      <c r="AE410" s="55"/>
      <c r="AF410" s="55"/>
      <c r="AG410" s="55"/>
      <c r="AH410" s="433" t="s">
        <v>30</v>
      </c>
      <c r="AI410" s="434"/>
      <c r="AJ410" s="434"/>
      <c r="AK410" s="434"/>
      <c r="AL410" s="434"/>
      <c r="AM410" s="435" t="str">
        <f>IF(($AU$9+12)&gt;$AX$9,"",VLOOKUP($AU$9+12,Spielplan,3,0))</f>
        <v/>
      </c>
      <c r="AN410" s="435"/>
      <c r="AO410" s="435"/>
      <c r="AP410" s="435"/>
      <c r="AQ410" s="436"/>
      <c r="AU410" s="46"/>
      <c r="AV410" s="46"/>
      <c r="AW410" s="46"/>
    </row>
    <row r="411" spans="2:49" ht="0.75" hidden="1" customHeight="1" thickBot="1" x14ac:dyDescent="0.25">
      <c r="B411" s="57"/>
      <c r="C411" s="57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9"/>
      <c r="AI411" s="52"/>
      <c r="AJ411" s="52"/>
      <c r="AK411" s="52"/>
      <c r="AL411" s="52"/>
      <c r="AM411" s="60"/>
      <c r="AN411" s="60"/>
      <c r="AO411" s="60"/>
      <c r="AP411" s="60"/>
      <c r="AQ411" s="61"/>
      <c r="AU411" s="46"/>
      <c r="AV411" s="46"/>
      <c r="AW411" s="46"/>
    </row>
    <row r="412" spans="2:49" ht="15" hidden="1" x14ac:dyDescent="0.25">
      <c r="B412" s="53"/>
      <c r="C412" s="62"/>
      <c r="D412" s="53"/>
      <c r="E412" s="63" t="s">
        <v>6</v>
      </c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64"/>
      <c r="S412" s="437" t="s">
        <v>31</v>
      </c>
      <c r="T412" s="438"/>
      <c r="U412" s="438"/>
      <c r="V412" s="438"/>
      <c r="W412" s="438"/>
      <c r="X412" s="438"/>
      <c r="Y412" s="362" t="str">
        <f>IF(($AU$9+12)&gt;$AX$9,"","SHTV")</f>
        <v/>
      </c>
      <c r="Z412" s="362"/>
      <c r="AA412" s="362"/>
      <c r="AB412" s="362"/>
      <c r="AC412" s="362"/>
      <c r="AD412" s="362"/>
      <c r="AE412" s="362"/>
      <c r="AF412" s="362"/>
      <c r="AG412" s="362"/>
      <c r="AH412" s="416" t="s">
        <v>32</v>
      </c>
      <c r="AI412" s="417"/>
      <c r="AJ412" s="417"/>
      <c r="AK412" s="417"/>
      <c r="AL412" s="417"/>
      <c r="AM412" s="420" t="str">
        <f>IF(($AU$9+12)&gt;$AX$9,"",VLOOKUP($AU$9+12,Spielplan,4,0))</f>
        <v/>
      </c>
      <c r="AN412" s="421"/>
      <c r="AO412" s="421"/>
      <c r="AP412" s="421"/>
      <c r="AQ412" s="422"/>
      <c r="AU412" s="46"/>
      <c r="AV412" s="46"/>
      <c r="AW412" s="46"/>
    </row>
    <row r="413" spans="2:49" ht="9.9499999999999993" hidden="1" customHeight="1" x14ac:dyDescent="0.2">
      <c r="B413" s="59"/>
      <c r="C413" s="65"/>
      <c r="D413" s="59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66"/>
      <c r="S413" s="400"/>
      <c r="T413" s="399"/>
      <c r="U413" s="399"/>
      <c r="V413" s="399"/>
      <c r="W413" s="399"/>
      <c r="X413" s="399"/>
      <c r="Y413" s="402"/>
      <c r="Z413" s="402"/>
      <c r="AA413" s="402"/>
      <c r="AB413" s="402"/>
      <c r="AC413" s="402"/>
      <c r="AD413" s="402"/>
      <c r="AE413" s="402"/>
      <c r="AF413" s="402"/>
      <c r="AG413" s="402"/>
      <c r="AH413" s="418"/>
      <c r="AI413" s="419"/>
      <c r="AJ413" s="419"/>
      <c r="AK413" s="419"/>
      <c r="AL413" s="419"/>
      <c r="AM413" s="423"/>
      <c r="AN413" s="423"/>
      <c r="AO413" s="423"/>
      <c r="AP413" s="423"/>
      <c r="AQ413" s="424"/>
      <c r="AU413" s="46"/>
      <c r="AV413" s="46"/>
      <c r="AW413" s="46"/>
    </row>
    <row r="414" spans="2:49" ht="13.15" hidden="1" customHeight="1" x14ac:dyDescent="0.2">
      <c r="B414" s="59"/>
      <c r="C414" s="65"/>
      <c r="D414" s="59"/>
      <c r="E414" s="52" t="s">
        <v>33</v>
      </c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66"/>
      <c r="S414" s="398" t="s">
        <v>34</v>
      </c>
      <c r="T414" s="399"/>
      <c r="U414" s="399"/>
      <c r="V414" s="399"/>
      <c r="W414" s="399"/>
      <c r="X414" s="399"/>
      <c r="Y414" s="402" t="str">
        <f>IF(($AU$9+12)&gt;$AX$9,"",Platzierung!$U$3)</f>
        <v/>
      </c>
      <c r="Z414" s="402"/>
      <c r="AA414" s="402"/>
      <c r="AB414" s="402"/>
      <c r="AC414" s="402"/>
      <c r="AD414" s="402"/>
      <c r="AE414" s="402"/>
      <c r="AF414" s="402"/>
      <c r="AG414" s="402"/>
      <c r="AH414" s="416" t="s">
        <v>35</v>
      </c>
      <c r="AI414" s="417"/>
      <c r="AJ414" s="417"/>
      <c r="AK414" s="417"/>
      <c r="AL414" s="417"/>
      <c r="AM414" s="420" t="str">
        <f>IF(($AU$9+12)&gt;$AX$9,"",VLOOKUP($AU$9+12,Spielplan,6,0))</f>
        <v/>
      </c>
      <c r="AN414" s="421"/>
      <c r="AO414" s="421"/>
      <c r="AP414" s="421"/>
      <c r="AQ414" s="422"/>
      <c r="AU414" s="46"/>
      <c r="AV414" s="46"/>
      <c r="AW414" s="46"/>
    </row>
    <row r="415" spans="2:49" ht="9.9499999999999993" hidden="1" customHeight="1" x14ac:dyDescent="0.2">
      <c r="B415" s="59"/>
      <c r="C415" s="65"/>
      <c r="D415" s="59"/>
      <c r="E415" s="52"/>
      <c r="F415" s="52"/>
      <c r="G415" s="52"/>
      <c r="H415" s="52"/>
      <c r="I415" s="52"/>
      <c r="J415" s="67" t="s">
        <v>36</v>
      </c>
      <c r="K415" s="52"/>
      <c r="L415" s="52"/>
      <c r="M415" s="52"/>
      <c r="N415" s="52"/>
      <c r="O415" s="52"/>
      <c r="P415" s="52"/>
      <c r="Q415" s="52"/>
      <c r="R415" s="66"/>
      <c r="S415" s="400"/>
      <c r="T415" s="399"/>
      <c r="U415" s="399"/>
      <c r="V415" s="399"/>
      <c r="W415" s="399"/>
      <c r="X415" s="399"/>
      <c r="Y415" s="402"/>
      <c r="Z415" s="402"/>
      <c r="AA415" s="402"/>
      <c r="AB415" s="402"/>
      <c r="AC415" s="402"/>
      <c r="AD415" s="402"/>
      <c r="AE415" s="402"/>
      <c r="AF415" s="402"/>
      <c r="AG415" s="402"/>
      <c r="AH415" s="418"/>
      <c r="AI415" s="419"/>
      <c r="AJ415" s="419"/>
      <c r="AK415" s="419"/>
      <c r="AL415" s="419"/>
      <c r="AM415" s="423"/>
      <c r="AN415" s="423"/>
      <c r="AO415" s="423"/>
      <c r="AP415" s="423"/>
      <c r="AQ415" s="424"/>
      <c r="AU415" s="46"/>
      <c r="AV415" s="46"/>
      <c r="AW415" s="46"/>
    </row>
    <row r="416" spans="2:49" ht="15.75" hidden="1" customHeight="1" x14ac:dyDescent="0.2">
      <c r="B416" s="59"/>
      <c r="C416" s="65"/>
      <c r="D416" s="394" t="str">
        <f>IF(($AU$9+12)&gt;$AX$9,"",VLOOKUP($AU$9+12,Spielplan,10,0))</f>
        <v/>
      </c>
      <c r="E416" s="395"/>
      <c r="F416" s="395"/>
      <c r="G416" s="395"/>
      <c r="H416" s="395"/>
      <c r="I416" s="395"/>
      <c r="J416" s="395"/>
      <c r="K416" s="395"/>
      <c r="L416" s="395"/>
      <c r="M416" s="395"/>
      <c r="N416" s="395"/>
      <c r="O416" s="395"/>
      <c r="P416" s="395"/>
      <c r="Q416" s="395"/>
      <c r="R416" s="396"/>
      <c r="S416" s="398" t="s">
        <v>37</v>
      </c>
      <c r="T416" s="399"/>
      <c r="U416" s="399"/>
      <c r="V416" s="399"/>
      <c r="W416" s="399"/>
      <c r="X416" s="399"/>
      <c r="Y416" s="401" t="str">
        <f>IF(($AU$9+12)&gt;$AX$9,"",VLOOKUP($AU$9+12,Spielplan,2,0))</f>
        <v/>
      </c>
      <c r="Z416" s="402"/>
      <c r="AA416" s="402"/>
      <c r="AB416" s="402"/>
      <c r="AC416" s="402"/>
      <c r="AD416" s="402"/>
      <c r="AE416" s="402"/>
      <c r="AF416" s="402"/>
      <c r="AG416" s="402"/>
      <c r="AH416" s="403" t="s">
        <v>38</v>
      </c>
      <c r="AI416" s="399"/>
      <c r="AJ416" s="399"/>
      <c r="AK416" s="399"/>
      <c r="AL416" s="399"/>
      <c r="AM416" s="425" t="str">
        <f>IF(($AU$9+12)&gt;$AX$9,"",VLOOKUP($AU$9+12,Spielplan,5,0))</f>
        <v/>
      </c>
      <c r="AN416" s="426"/>
      <c r="AO416" s="426"/>
      <c r="AP416" s="426"/>
      <c r="AQ416" s="427"/>
      <c r="AU416" s="46"/>
      <c r="AV416" s="46"/>
      <c r="AW416" s="46"/>
    </row>
    <row r="417" spans="2:49" ht="11.1" hidden="1" customHeight="1" thickBot="1" x14ac:dyDescent="0.25">
      <c r="B417" s="59"/>
      <c r="C417" s="65"/>
      <c r="D417" s="397"/>
      <c r="E417" s="395"/>
      <c r="F417" s="395"/>
      <c r="G417" s="395"/>
      <c r="H417" s="395"/>
      <c r="I417" s="395"/>
      <c r="J417" s="395"/>
      <c r="K417" s="395"/>
      <c r="L417" s="395"/>
      <c r="M417" s="395"/>
      <c r="N417" s="395"/>
      <c r="O417" s="395"/>
      <c r="P417" s="395"/>
      <c r="Q417" s="395"/>
      <c r="R417" s="396"/>
      <c r="S417" s="400"/>
      <c r="T417" s="399"/>
      <c r="U417" s="399"/>
      <c r="V417" s="399"/>
      <c r="W417" s="399"/>
      <c r="X417" s="399"/>
      <c r="Y417" s="402"/>
      <c r="Z417" s="402"/>
      <c r="AA417" s="402"/>
      <c r="AB417" s="402"/>
      <c r="AC417" s="402"/>
      <c r="AD417" s="402"/>
      <c r="AE417" s="402"/>
      <c r="AF417" s="402"/>
      <c r="AG417" s="402"/>
      <c r="AH417" s="404"/>
      <c r="AI417" s="405"/>
      <c r="AJ417" s="405"/>
      <c r="AK417" s="405"/>
      <c r="AL417" s="405"/>
      <c r="AM417" s="428"/>
      <c r="AN417" s="428"/>
      <c r="AO417" s="428"/>
      <c r="AP417" s="428"/>
      <c r="AQ417" s="429"/>
      <c r="AU417" s="46"/>
      <c r="AV417" s="46"/>
      <c r="AW417" s="46"/>
    </row>
    <row r="418" spans="2:49" ht="11.1" hidden="1" customHeight="1" thickBot="1" x14ac:dyDescent="0.25">
      <c r="B418" s="59"/>
      <c r="C418" s="65"/>
      <c r="D418" s="57"/>
      <c r="E418" s="58"/>
      <c r="F418" s="58"/>
      <c r="G418" s="58"/>
      <c r="H418" s="58"/>
      <c r="I418" s="58"/>
      <c r="J418" s="58" t="s">
        <v>39</v>
      </c>
      <c r="K418" s="58"/>
      <c r="L418" s="58"/>
      <c r="M418" s="58"/>
      <c r="N418" s="58"/>
      <c r="O418" s="52"/>
      <c r="P418" s="52"/>
      <c r="Q418" s="58"/>
      <c r="R418" s="68"/>
      <c r="S418" s="59"/>
      <c r="T418" s="52"/>
      <c r="U418" s="52"/>
      <c r="V418" s="52"/>
      <c r="W418" s="52"/>
      <c r="X418" s="52"/>
      <c r="Y418" s="430"/>
      <c r="Z418" s="430"/>
      <c r="AA418" s="430"/>
      <c r="AB418" s="430"/>
      <c r="AC418" s="430"/>
      <c r="AD418" s="430"/>
      <c r="AE418" s="430"/>
      <c r="AF418" s="431"/>
      <c r="AG418" s="432"/>
      <c r="AH418" s="69" t="s">
        <v>40</v>
      </c>
      <c r="AI418" s="52"/>
      <c r="AJ418" s="52"/>
      <c r="AK418" s="52"/>
      <c r="AL418" s="52"/>
      <c r="AM418" s="52"/>
      <c r="AN418" s="52"/>
      <c r="AO418" s="70"/>
      <c r="AP418" s="52"/>
      <c r="AQ418" s="66"/>
      <c r="AU418" s="46"/>
      <c r="AV418" s="46"/>
      <c r="AW418" s="46"/>
    </row>
    <row r="419" spans="2:49" ht="13.5" hidden="1" customHeight="1" thickBot="1" x14ac:dyDescent="0.3">
      <c r="B419" s="59"/>
      <c r="C419" s="65"/>
      <c r="D419" s="53"/>
      <c r="E419" s="63" t="s">
        <v>8</v>
      </c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388" t="s">
        <v>41</v>
      </c>
      <c r="R419" s="53"/>
      <c r="S419" s="53"/>
      <c r="T419" s="63" t="s">
        <v>7</v>
      </c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64"/>
      <c r="AF419" s="391" t="s">
        <v>41</v>
      </c>
      <c r="AG419" s="59"/>
      <c r="AH419" s="71" t="s">
        <v>42</v>
      </c>
      <c r="AI419" s="58"/>
      <c r="AJ419" s="58"/>
      <c r="AK419" s="58"/>
      <c r="AL419" s="58"/>
      <c r="AM419" s="58"/>
      <c r="AN419" s="58"/>
      <c r="AO419" s="72"/>
      <c r="AP419" s="52"/>
      <c r="AQ419" s="66"/>
      <c r="AU419" s="46"/>
      <c r="AV419" s="46"/>
      <c r="AW419" s="46"/>
    </row>
    <row r="420" spans="2:49" ht="12" hidden="1" customHeight="1" thickBot="1" x14ac:dyDescent="0.25">
      <c r="B420" s="59"/>
      <c r="C420" s="65"/>
      <c r="D420" s="394" t="str">
        <f>IF(($AU$9+12)&gt;$AX$9,"",VLOOKUP($AU$9+12,Spielplan,7,0))</f>
        <v/>
      </c>
      <c r="E420" s="395"/>
      <c r="F420" s="395"/>
      <c r="G420" s="395"/>
      <c r="H420" s="395"/>
      <c r="I420" s="395"/>
      <c r="J420" s="395"/>
      <c r="K420" s="395"/>
      <c r="L420" s="395"/>
      <c r="M420" s="395"/>
      <c r="N420" s="395"/>
      <c r="O420" s="395"/>
      <c r="P420" s="396"/>
      <c r="Q420" s="389"/>
      <c r="R420" s="59"/>
      <c r="S420" s="394" t="str">
        <f>IF(($AU$9+12)&gt;$AX$9,"",VLOOKUP($AU$9+12,Spielplan,9,0))</f>
        <v/>
      </c>
      <c r="T420" s="395"/>
      <c r="U420" s="395"/>
      <c r="V420" s="395"/>
      <c r="W420" s="395"/>
      <c r="X420" s="395"/>
      <c r="Y420" s="395"/>
      <c r="Z420" s="395"/>
      <c r="AA420" s="395"/>
      <c r="AB420" s="395"/>
      <c r="AC420" s="395"/>
      <c r="AD420" s="395"/>
      <c r="AE420" s="409"/>
      <c r="AF420" s="392"/>
      <c r="AG420" s="59"/>
      <c r="AH420" s="410" t="s">
        <v>43</v>
      </c>
      <c r="AI420" s="411"/>
      <c r="AJ420" s="411"/>
      <c r="AK420" s="411"/>
      <c r="AL420" s="411"/>
      <c r="AM420" s="412"/>
      <c r="AN420" s="73" t="s">
        <v>44</v>
      </c>
      <c r="AO420" s="74"/>
      <c r="AP420" s="74"/>
      <c r="AQ420" s="72"/>
      <c r="AU420" s="46"/>
      <c r="AV420" s="46"/>
      <c r="AW420" s="46"/>
    </row>
    <row r="421" spans="2:49" ht="12" hidden="1" customHeight="1" thickBot="1" x14ac:dyDescent="0.25">
      <c r="B421" s="57"/>
      <c r="C421" s="70"/>
      <c r="D421" s="406"/>
      <c r="E421" s="407"/>
      <c r="F421" s="407"/>
      <c r="G421" s="407"/>
      <c r="H421" s="407"/>
      <c r="I421" s="407"/>
      <c r="J421" s="407"/>
      <c r="K421" s="407"/>
      <c r="L421" s="407"/>
      <c r="M421" s="407"/>
      <c r="N421" s="407"/>
      <c r="O421" s="407"/>
      <c r="P421" s="408"/>
      <c r="Q421" s="390"/>
      <c r="R421" s="57"/>
      <c r="S421" s="406"/>
      <c r="T421" s="407"/>
      <c r="U421" s="407"/>
      <c r="V421" s="407"/>
      <c r="W421" s="407"/>
      <c r="X421" s="407"/>
      <c r="Y421" s="407"/>
      <c r="Z421" s="407"/>
      <c r="AA421" s="407"/>
      <c r="AB421" s="407"/>
      <c r="AC421" s="407"/>
      <c r="AD421" s="407"/>
      <c r="AE421" s="385"/>
      <c r="AF421" s="393"/>
      <c r="AG421" s="57"/>
      <c r="AH421" s="413"/>
      <c r="AI421" s="414"/>
      <c r="AJ421" s="414"/>
      <c r="AK421" s="414"/>
      <c r="AL421" s="414"/>
      <c r="AM421" s="415"/>
      <c r="AN421" s="73" t="s">
        <v>45</v>
      </c>
      <c r="AO421" s="74"/>
      <c r="AP421" s="74"/>
      <c r="AQ421" s="72"/>
      <c r="AU421" s="46"/>
      <c r="AV421" s="46"/>
      <c r="AW421" s="46"/>
    </row>
    <row r="422" spans="2:49" ht="9.9499999999999993" hidden="1" customHeight="1" thickBot="1" x14ac:dyDescent="0.25">
      <c r="B422" s="59"/>
      <c r="C422" s="59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66"/>
      <c r="AU422" s="46"/>
      <c r="AV422" s="46"/>
      <c r="AW422" s="46"/>
    </row>
    <row r="423" spans="2:49" hidden="1" x14ac:dyDescent="0.2">
      <c r="B423" s="53"/>
      <c r="C423" s="62" t="s">
        <v>44</v>
      </c>
      <c r="D423" s="75"/>
      <c r="E423" s="76"/>
      <c r="F423" s="76"/>
      <c r="G423" s="76"/>
      <c r="H423" s="77"/>
      <c r="I423" s="75"/>
      <c r="J423" s="76"/>
      <c r="K423" s="76"/>
      <c r="L423" s="76"/>
      <c r="M423" s="77"/>
      <c r="N423" s="75"/>
      <c r="O423" s="76"/>
      <c r="P423" s="76"/>
      <c r="Q423" s="76"/>
      <c r="R423" s="77"/>
      <c r="S423" s="75"/>
      <c r="T423" s="76"/>
      <c r="U423" s="76"/>
      <c r="V423" s="76"/>
      <c r="W423" s="77"/>
      <c r="X423" s="75"/>
      <c r="Y423" s="76"/>
      <c r="Z423" s="76"/>
      <c r="AA423" s="76"/>
      <c r="AB423" s="77"/>
      <c r="AC423" s="75"/>
      <c r="AD423" s="76"/>
      <c r="AE423" s="76"/>
      <c r="AF423" s="76"/>
      <c r="AG423" s="77"/>
      <c r="AH423" s="75"/>
      <c r="AI423" s="76"/>
      <c r="AJ423" s="76"/>
      <c r="AK423" s="76"/>
      <c r="AL423" s="76"/>
      <c r="AM423" s="188" t="s">
        <v>44</v>
      </c>
      <c r="AN423" s="386"/>
      <c r="AO423" s="386"/>
      <c r="AP423" s="386"/>
      <c r="AQ423" s="387"/>
      <c r="AU423" s="46"/>
      <c r="AV423" s="46"/>
      <c r="AW423" s="46"/>
    </row>
    <row r="424" spans="2:49" ht="13.5" hidden="1" thickBot="1" x14ac:dyDescent="0.25">
      <c r="B424" s="57"/>
      <c r="C424" s="70" t="s">
        <v>45</v>
      </c>
      <c r="D424" s="57"/>
      <c r="E424" s="78"/>
      <c r="F424" s="78"/>
      <c r="G424" s="78"/>
      <c r="H424" s="79"/>
      <c r="I424" s="57"/>
      <c r="J424" s="78"/>
      <c r="K424" s="78"/>
      <c r="L424" s="78"/>
      <c r="M424" s="79"/>
      <c r="N424" s="57"/>
      <c r="O424" s="78"/>
      <c r="P424" s="78"/>
      <c r="Q424" s="78"/>
      <c r="R424" s="79"/>
      <c r="S424" s="57"/>
      <c r="T424" s="78"/>
      <c r="U424" s="78"/>
      <c r="V424" s="78"/>
      <c r="W424" s="79"/>
      <c r="X424" s="57"/>
      <c r="Y424" s="78"/>
      <c r="Z424" s="78"/>
      <c r="AA424" s="78"/>
      <c r="AB424" s="79"/>
      <c r="AC424" s="57"/>
      <c r="AD424" s="78"/>
      <c r="AE424" s="78"/>
      <c r="AF424" s="78"/>
      <c r="AG424" s="79"/>
      <c r="AH424" s="57"/>
      <c r="AI424" s="78"/>
      <c r="AJ424" s="78"/>
      <c r="AK424" s="78"/>
      <c r="AL424" s="78"/>
      <c r="AM424" s="190" t="s">
        <v>45</v>
      </c>
      <c r="AN424" s="323"/>
      <c r="AO424" s="323"/>
      <c r="AP424" s="323"/>
      <c r="AQ424" s="324"/>
      <c r="AU424" s="46"/>
      <c r="AV424" s="46"/>
      <c r="AW424" s="46"/>
    </row>
    <row r="425" spans="2:49" hidden="1" x14ac:dyDescent="0.2">
      <c r="B425" s="53"/>
      <c r="C425" s="62" t="s">
        <v>44</v>
      </c>
      <c r="D425" s="75"/>
      <c r="E425" s="76"/>
      <c r="F425" s="76"/>
      <c r="G425" s="76"/>
      <c r="H425" s="77"/>
      <c r="I425" s="75"/>
      <c r="J425" s="76"/>
      <c r="K425" s="76"/>
      <c r="L425" s="76"/>
      <c r="M425" s="77"/>
      <c r="N425" s="75"/>
      <c r="O425" s="76"/>
      <c r="P425" s="76"/>
      <c r="Q425" s="76"/>
      <c r="R425" s="77"/>
      <c r="S425" s="75"/>
      <c r="T425" s="76"/>
      <c r="U425" s="76"/>
      <c r="V425" s="76"/>
      <c r="W425" s="77"/>
      <c r="X425" s="75"/>
      <c r="Y425" s="76"/>
      <c r="Z425" s="76"/>
      <c r="AA425" s="76"/>
      <c r="AB425" s="77"/>
      <c r="AC425" s="75"/>
      <c r="AD425" s="76"/>
      <c r="AE425" s="76"/>
      <c r="AF425" s="76"/>
      <c r="AG425" s="77"/>
      <c r="AH425" s="75"/>
      <c r="AI425" s="76"/>
      <c r="AJ425" s="76"/>
      <c r="AK425" s="76"/>
      <c r="AL425" s="76"/>
      <c r="AM425" s="188" t="s">
        <v>44</v>
      </c>
      <c r="AN425" s="386"/>
      <c r="AO425" s="386"/>
      <c r="AP425" s="386"/>
      <c r="AQ425" s="387"/>
      <c r="AU425" s="46"/>
      <c r="AV425" s="46"/>
      <c r="AW425" s="46"/>
    </row>
    <row r="426" spans="2:49" ht="13.5" hidden="1" thickBot="1" x14ac:dyDescent="0.25">
      <c r="B426" s="57"/>
      <c r="C426" s="70" t="s">
        <v>45</v>
      </c>
      <c r="D426" s="57"/>
      <c r="E426" s="78"/>
      <c r="F426" s="78"/>
      <c r="G426" s="78"/>
      <c r="H426" s="79"/>
      <c r="I426" s="57"/>
      <c r="J426" s="78"/>
      <c r="K426" s="78"/>
      <c r="L426" s="78"/>
      <c r="M426" s="79"/>
      <c r="N426" s="57"/>
      <c r="O426" s="78"/>
      <c r="P426" s="78"/>
      <c r="Q426" s="78"/>
      <c r="R426" s="79"/>
      <c r="S426" s="57"/>
      <c r="T426" s="78"/>
      <c r="U426" s="78"/>
      <c r="V426" s="78"/>
      <c r="W426" s="79"/>
      <c r="X426" s="57"/>
      <c r="Y426" s="78"/>
      <c r="Z426" s="78"/>
      <c r="AA426" s="78"/>
      <c r="AB426" s="79"/>
      <c r="AC426" s="57"/>
      <c r="AD426" s="78"/>
      <c r="AE426" s="78"/>
      <c r="AF426" s="78"/>
      <c r="AG426" s="79"/>
      <c r="AH426" s="57"/>
      <c r="AI426" s="78"/>
      <c r="AJ426" s="78"/>
      <c r="AK426" s="78"/>
      <c r="AL426" s="78"/>
      <c r="AM426" s="189" t="s">
        <v>45</v>
      </c>
      <c r="AN426" s="338"/>
      <c r="AO426" s="338"/>
      <c r="AP426" s="338"/>
      <c r="AQ426" s="339"/>
      <c r="AU426" s="46"/>
      <c r="AV426" s="46"/>
      <c r="AW426" s="46"/>
    </row>
    <row r="427" spans="2:49" hidden="1" x14ac:dyDescent="0.2">
      <c r="B427" s="53"/>
      <c r="C427" s="62" t="s">
        <v>44</v>
      </c>
      <c r="D427" s="75"/>
      <c r="E427" s="76"/>
      <c r="F427" s="76"/>
      <c r="G427" s="76"/>
      <c r="H427" s="77"/>
      <c r="I427" s="75"/>
      <c r="J427" s="76"/>
      <c r="K427" s="76"/>
      <c r="L427" s="76"/>
      <c r="M427" s="77"/>
      <c r="N427" s="75"/>
      <c r="O427" s="76"/>
      <c r="P427" s="76"/>
      <c r="Q427" s="76"/>
      <c r="R427" s="77"/>
      <c r="S427" s="75"/>
      <c r="T427" s="76"/>
      <c r="U427" s="76"/>
      <c r="V427" s="76"/>
      <c r="W427" s="77"/>
      <c r="X427" s="75"/>
      <c r="Y427" s="76"/>
      <c r="Z427" s="76"/>
      <c r="AA427" s="76"/>
      <c r="AB427" s="77"/>
      <c r="AC427" s="75"/>
      <c r="AD427" s="76"/>
      <c r="AE427" s="76"/>
      <c r="AF427" s="76"/>
      <c r="AG427" s="77"/>
      <c r="AH427" s="75"/>
      <c r="AI427" s="76"/>
      <c r="AJ427" s="76"/>
      <c r="AK427" s="76"/>
      <c r="AL427" s="76"/>
      <c r="AM427" s="188" t="s">
        <v>44</v>
      </c>
      <c r="AN427" s="386"/>
      <c r="AO427" s="386"/>
      <c r="AP427" s="386"/>
      <c r="AQ427" s="387"/>
      <c r="AU427" s="46"/>
      <c r="AV427" s="46"/>
      <c r="AW427" s="46"/>
    </row>
    <row r="428" spans="2:49" ht="13.5" hidden="1" thickBot="1" x14ac:dyDescent="0.25">
      <c r="B428" s="57"/>
      <c r="C428" s="70" t="s">
        <v>45</v>
      </c>
      <c r="D428" s="57"/>
      <c r="E428" s="78"/>
      <c r="F428" s="78"/>
      <c r="G428" s="78"/>
      <c r="H428" s="79"/>
      <c r="I428" s="57"/>
      <c r="J428" s="78"/>
      <c r="K428" s="78"/>
      <c r="L428" s="78"/>
      <c r="M428" s="79"/>
      <c r="N428" s="57"/>
      <c r="O428" s="78"/>
      <c r="P428" s="78"/>
      <c r="Q428" s="78"/>
      <c r="R428" s="79"/>
      <c r="S428" s="57"/>
      <c r="T428" s="78"/>
      <c r="U428" s="78"/>
      <c r="V428" s="78"/>
      <c r="W428" s="79"/>
      <c r="X428" s="57"/>
      <c r="Y428" s="78"/>
      <c r="Z428" s="78"/>
      <c r="AA428" s="78"/>
      <c r="AB428" s="79"/>
      <c r="AC428" s="57"/>
      <c r="AD428" s="78"/>
      <c r="AE428" s="78"/>
      <c r="AF428" s="78"/>
      <c r="AG428" s="79"/>
      <c r="AH428" s="57"/>
      <c r="AI428" s="78"/>
      <c r="AJ428" s="78"/>
      <c r="AK428" s="78"/>
      <c r="AL428" s="78"/>
      <c r="AM428" s="189" t="s">
        <v>45</v>
      </c>
      <c r="AN428" s="338"/>
      <c r="AO428" s="338"/>
      <c r="AP428" s="338"/>
      <c r="AQ428" s="339"/>
      <c r="AU428" s="46"/>
      <c r="AV428" s="46"/>
      <c r="AW428" s="46"/>
    </row>
    <row r="429" spans="2:49" ht="9.9499999999999993" hidden="1" customHeight="1" x14ac:dyDescent="0.2">
      <c r="B429" s="59"/>
      <c r="C429" s="59"/>
      <c r="D429" s="374" t="s">
        <v>46</v>
      </c>
      <c r="E429" s="375"/>
      <c r="F429" s="376"/>
      <c r="G429" s="380" t="s">
        <v>47</v>
      </c>
      <c r="H429" s="381"/>
      <c r="I429" s="381"/>
      <c r="J429" s="381"/>
      <c r="K429" s="381"/>
      <c r="L429" s="381"/>
      <c r="M429" s="381"/>
      <c r="N429" s="381"/>
      <c r="O429" s="382"/>
      <c r="P429" s="359" t="s">
        <v>41</v>
      </c>
      <c r="Q429" s="359" t="s">
        <v>48</v>
      </c>
      <c r="R429" s="52"/>
      <c r="S429" s="374" t="s">
        <v>46</v>
      </c>
      <c r="T429" s="375"/>
      <c r="U429" s="376"/>
      <c r="V429" s="380" t="s">
        <v>47</v>
      </c>
      <c r="W429" s="381"/>
      <c r="X429" s="381"/>
      <c r="Y429" s="381"/>
      <c r="Z429" s="381"/>
      <c r="AA429" s="381"/>
      <c r="AB429" s="381"/>
      <c r="AC429" s="381"/>
      <c r="AD429" s="382"/>
      <c r="AE429" s="359" t="s">
        <v>41</v>
      </c>
      <c r="AF429" s="359" t="s">
        <v>48</v>
      </c>
      <c r="AG429" s="80"/>
      <c r="AH429" s="81"/>
      <c r="AI429" s="81"/>
      <c r="AJ429" s="81"/>
      <c r="AK429" s="81"/>
      <c r="AL429" s="81"/>
      <c r="AM429" s="99"/>
      <c r="AN429" s="373" t="s">
        <v>1</v>
      </c>
      <c r="AO429" s="373"/>
      <c r="AP429" s="373" t="s">
        <v>2</v>
      </c>
      <c r="AQ429" s="373"/>
      <c r="AR429" s="82"/>
      <c r="AU429" s="46"/>
      <c r="AV429" s="46"/>
      <c r="AW429" s="46"/>
    </row>
    <row r="430" spans="2:49" ht="13.5" hidden="1" thickBot="1" x14ac:dyDescent="0.25">
      <c r="B430" s="59"/>
      <c r="C430" s="59"/>
      <c r="D430" s="377"/>
      <c r="E430" s="378"/>
      <c r="F430" s="379"/>
      <c r="G430" s="383"/>
      <c r="H430" s="384"/>
      <c r="I430" s="384"/>
      <c r="J430" s="384"/>
      <c r="K430" s="384"/>
      <c r="L430" s="384"/>
      <c r="M430" s="384"/>
      <c r="N430" s="384"/>
      <c r="O430" s="385"/>
      <c r="P430" s="360"/>
      <c r="Q430" s="360"/>
      <c r="R430" s="52"/>
      <c r="S430" s="377"/>
      <c r="T430" s="378"/>
      <c r="U430" s="379"/>
      <c r="V430" s="383"/>
      <c r="W430" s="384"/>
      <c r="X430" s="384"/>
      <c r="Y430" s="384"/>
      <c r="Z430" s="384"/>
      <c r="AA430" s="384"/>
      <c r="AB430" s="384"/>
      <c r="AC430" s="384"/>
      <c r="AD430" s="385"/>
      <c r="AE430" s="360"/>
      <c r="AF430" s="360"/>
      <c r="AG430" s="83"/>
      <c r="AH430" s="52"/>
      <c r="AI430" s="84" t="s">
        <v>49</v>
      </c>
      <c r="AJ430" s="84"/>
      <c r="AK430" s="84"/>
      <c r="AL430" s="84"/>
      <c r="AM430" s="84"/>
      <c r="AN430" s="84"/>
      <c r="AO430" s="85"/>
      <c r="AP430" s="85"/>
      <c r="AQ430" s="86"/>
      <c r="AR430" s="82"/>
      <c r="AU430" s="46"/>
      <c r="AV430" s="46"/>
      <c r="AW430" s="46"/>
    </row>
    <row r="431" spans="2:49" ht="13.5" hidden="1" customHeight="1" x14ac:dyDescent="0.2">
      <c r="B431" s="59"/>
      <c r="C431" s="59"/>
      <c r="D431" s="198"/>
      <c r="E431" s="191"/>
      <c r="F431" s="192"/>
      <c r="G431" s="193" t="s">
        <v>50</v>
      </c>
      <c r="H431" s="194"/>
      <c r="I431" s="194"/>
      <c r="J431" s="194"/>
      <c r="K431" s="194"/>
      <c r="L431" s="194"/>
      <c r="M431" s="194"/>
      <c r="N431" s="194"/>
      <c r="O431" s="195"/>
      <c r="P431" s="196"/>
      <c r="Q431" s="196"/>
      <c r="R431" s="197"/>
      <c r="S431" s="198"/>
      <c r="T431" s="191"/>
      <c r="U431" s="192"/>
      <c r="V431" s="193" t="s">
        <v>50</v>
      </c>
      <c r="W431" s="194"/>
      <c r="X431" s="194"/>
      <c r="Y431" s="194"/>
      <c r="Z431" s="194"/>
      <c r="AA431" s="194"/>
      <c r="AB431" s="194"/>
      <c r="AC431" s="194"/>
      <c r="AD431" s="195"/>
      <c r="AE431" s="196"/>
      <c r="AF431" s="196"/>
      <c r="AG431" s="361" t="s">
        <v>68</v>
      </c>
      <c r="AH431" s="362"/>
      <c r="AI431" s="362"/>
      <c r="AJ431" s="363"/>
      <c r="AK431" s="367" t="s">
        <v>51</v>
      </c>
      <c r="AL431" s="368"/>
      <c r="AM431" s="368"/>
      <c r="AN431" s="368"/>
      <c r="AO431" s="368"/>
      <c r="AP431" s="368"/>
      <c r="AQ431" s="369"/>
      <c r="AU431" s="46"/>
      <c r="AV431" s="46"/>
      <c r="AW431" s="46"/>
    </row>
    <row r="432" spans="2:49" ht="13.5" hidden="1" customHeight="1" thickBot="1" x14ac:dyDescent="0.25">
      <c r="B432" s="59"/>
      <c r="C432" s="59"/>
      <c r="D432" s="198"/>
      <c r="E432" s="191"/>
      <c r="F432" s="192"/>
      <c r="G432" s="199">
        <v>2</v>
      </c>
      <c r="H432" s="191"/>
      <c r="I432" s="191"/>
      <c r="J432" s="191"/>
      <c r="K432" s="191"/>
      <c r="L432" s="191"/>
      <c r="M432" s="191"/>
      <c r="N432" s="191"/>
      <c r="O432" s="192"/>
      <c r="P432" s="196"/>
      <c r="Q432" s="196"/>
      <c r="R432" s="197"/>
      <c r="S432" s="198"/>
      <c r="T432" s="191"/>
      <c r="U432" s="192"/>
      <c r="V432" s="199">
        <v>2</v>
      </c>
      <c r="W432" s="191"/>
      <c r="X432" s="191"/>
      <c r="Y432" s="191"/>
      <c r="Z432" s="191"/>
      <c r="AA432" s="191"/>
      <c r="AB432" s="191"/>
      <c r="AC432" s="191"/>
      <c r="AD432" s="192"/>
      <c r="AE432" s="196"/>
      <c r="AF432" s="196"/>
      <c r="AG432" s="364"/>
      <c r="AH432" s="365"/>
      <c r="AI432" s="365"/>
      <c r="AJ432" s="366"/>
      <c r="AK432" s="370"/>
      <c r="AL432" s="371"/>
      <c r="AM432" s="371"/>
      <c r="AN432" s="371"/>
      <c r="AO432" s="371"/>
      <c r="AP432" s="371"/>
      <c r="AQ432" s="372"/>
      <c r="AU432" s="46"/>
      <c r="AV432" s="46"/>
      <c r="AW432" s="46"/>
    </row>
    <row r="433" spans="2:49" ht="13.5" hidden="1" customHeight="1" x14ac:dyDescent="0.2">
      <c r="B433" s="59"/>
      <c r="C433" s="59"/>
      <c r="D433" s="198"/>
      <c r="E433" s="191"/>
      <c r="F433" s="192"/>
      <c r="G433" s="199">
        <v>3</v>
      </c>
      <c r="H433" s="191"/>
      <c r="I433" s="191"/>
      <c r="J433" s="191"/>
      <c r="K433" s="191"/>
      <c r="L433" s="191"/>
      <c r="M433" s="191"/>
      <c r="N433" s="191"/>
      <c r="O433" s="192"/>
      <c r="P433" s="196"/>
      <c r="Q433" s="196"/>
      <c r="R433" s="197"/>
      <c r="S433" s="198"/>
      <c r="T433" s="191"/>
      <c r="U433" s="192"/>
      <c r="V433" s="199">
        <v>3</v>
      </c>
      <c r="W433" s="191"/>
      <c r="X433" s="191"/>
      <c r="Y433" s="191"/>
      <c r="Z433" s="191"/>
      <c r="AA433" s="191"/>
      <c r="AB433" s="191"/>
      <c r="AC433" s="191"/>
      <c r="AD433" s="192"/>
      <c r="AE433" s="196"/>
      <c r="AF433" s="196"/>
      <c r="AG433" s="361" t="s">
        <v>2</v>
      </c>
      <c r="AH433" s="362"/>
      <c r="AI433" s="362"/>
      <c r="AJ433" s="363"/>
      <c r="AK433" s="367" t="s">
        <v>51</v>
      </c>
      <c r="AL433" s="368"/>
      <c r="AM433" s="368"/>
      <c r="AN433" s="368"/>
      <c r="AO433" s="368"/>
      <c r="AP433" s="368"/>
      <c r="AQ433" s="369"/>
      <c r="AU433" s="46"/>
      <c r="AV433" s="46"/>
      <c r="AW433" s="46"/>
    </row>
    <row r="434" spans="2:49" ht="13.5" hidden="1" customHeight="1" thickBot="1" x14ac:dyDescent="0.25">
      <c r="B434" s="59"/>
      <c r="C434" s="59"/>
      <c r="D434" s="198"/>
      <c r="E434" s="191"/>
      <c r="F434" s="192"/>
      <c r="G434" s="199">
        <v>4</v>
      </c>
      <c r="H434" s="191"/>
      <c r="I434" s="191"/>
      <c r="J434" s="191"/>
      <c r="K434" s="191"/>
      <c r="L434" s="191"/>
      <c r="M434" s="191"/>
      <c r="N434" s="191"/>
      <c r="O434" s="192"/>
      <c r="P434" s="196"/>
      <c r="Q434" s="196"/>
      <c r="R434" s="197"/>
      <c r="S434" s="198"/>
      <c r="T434" s="191"/>
      <c r="U434" s="192"/>
      <c r="V434" s="199">
        <v>4</v>
      </c>
      <c r="W434" s="191"/>
      <c r="X434" s="191"/>
      <c r="Y434" s="191"/>
      <c r="Z434" s="191"/>
      <c r="AA434" s="191"/>
      <c r="AB434" s="191"/>
      <c r="AC434" s="191"/>
      <c r="AD434" s="192"/>
      <c r="AE434" s="196"/>
      <c r="AF434" s="196"/>
      <c r="AG434" s="364"/>
      <c r="AH434" s="365"/>
      <c r="AI434" s="365"/>
      <c r="AJ434" s="366"/>
      <c r="AK434" s="370"/>
      <c r="AL434" s="371"/>
      <c r="AM434" s="371"/>
      <c r="AN434" s="371"/>
      <c r="AO434" s="371"/>
      <c r="AP434" s="371"/>
      <c r="AQ434" s="372"/>
      <c r="AU434" s="46"/>
      <c r="AV434" s="46"/>
      <c r="AW434" s="46"/>
    </row>
    <row r="435" spans="2:49" ht="13.5" hidden="1" customHeight="1" x14ac:dyDescent="0.2">
      <c r="B435" s="59"/>
      <c r="C435" s="59"/>
      <c r="D435" s="198"/>
      <c r="E435" s="191"/>
      <c r="F435" s="192"/>
      <c r="G435" s="199">
        <v>5</v>
      </c>
      <c r="H435" s="191"/>
      <c r="I435" s="191"/>
      <c r="J435" s="191"/>
      <c r="K435" s="191"/>
      <c r="L435" s="191"/>
      <c r="M435" s="191"/>
      <c r="N435" s="191"/>
      <c r="O435" s="192"/>
      <c r="P435" s="196"/>
      <c r="Q435" s="196"/>
      <c r="R435" s="197"/>
      <c r="S435" s="198"/>
      <c r="T435" s="191"/>
      <c r="U435" s="192"/>
      <c r="V435" s="199">
        <v>5</v>
      </c>
      <c r="W435" s="191"/>
      <c r="X435" s="191"/>
      <c r="Y435" s="191"/>
      <c r="Z435" s="191"/>
      <c r="AA435" s="191"/>
      <c r="AB435" s="191"/>
      <c r="AC435" s="191"/>
      <c r="AD435" s="192"/>
      <c r="AE435" s="196"/>
      <c r="AF435" s="196"/>
      <c r="AG435" s="87" t="s">
        <v>52</v>
      </c>
      <c r="AH435" s="55"/>
      <c r="AI435" s="55"/>
      <c r="AJ435" s="55"/>
      <c r="AK435" s="55"/>
      <c r="AL435" s="55"/>
      <c r="AM435" s="55"/>
      <c r="AN435" s="55"/>
      <c r="AO435" s="55" t="s">
        <v>53</v>
      </c>
      <c r="AP435" s="55"/>
      <c r="AQ435" s="64"/>
      <c r="AU435" s="46"/>
      <c r="AV435" s="46"/>
      <c r="AW435" s="46"/>
    </row>
    <row r="436" spans="2:49" ht="13.5" hidden="1" customHeight="1" x14ac:dyDescent="0.2">
      <c r="B436" s="59"/>
      <c r="C436" s="59"/>
      <c r="D436" s="198"/>
      <c r="E436" s="191"/>
      <c r="F436" s="192"/>
      <c r="G436" s="199">
        <v>6</v>
      </c>
      <c r="H436" s="191"/>
      <c r="I436" s="191"/>
      <c r="J436" s="191"/>
      <c r="K436" s="191"/>
      <c r="L436" s="191"/>
      <c r="M436" s="191"/>
      <c r="N436" s="191"/>
      <c r="O436" s="192"/>
      <c r="P436" s="196"/>
      <c r="Q436" s="196"/>
      <c r="R436" s="197"/>
      <c r="S436" s="198"/>
      <c r="T436" s="191"/>
      <c r="U436" s="192"/>
      <c r="V436" s="199">
        <v>6</v>
      </c>
      <c r="W436" s="191"/>
      <c r="X436" s="191"/>
      <c r="Y436" s="191"/>
      <c r="Z436" s="191"/>
      <c r="AA436" s="191"/>
      <c r="AB436" s="191"/>
      <c r="AC436" s="191"/>
      <c r="AD436" s="192"/>
      <c r="AE436" s="196"/>
      <c r="AF436" s="196"/>
      <c r="AG436" s="88"/>
      <c r="AH436" s="52"/>
      <c r="AI436" s="52"/>
      <c r="AJ436" s="52"/>
      <c r="AK436" s="52"/>
      <c r="AL436" s="52"/>
      <c r="AM436" s="52"/>
      <c r="AN436" s="52"/>
      <c r="AO436" s="52"/>
      <c r="AP436" s="52"/>
      <c r="AQ436" s="66"/>
      <c r="AU436" s="46"/>
      <c r="AV436" s="46"/>
      <c r="AW436" s="46"/>
    </row>
    <row r="437" spans="2:49" ht="13.5" hidden="1" customHeight="1" thickBot="1" x14ac:dyDescent="0.25">
      <c r="B437" s="59"/>
      <c r="C437" s="59"/>
      <c r="D437" s="198"/>
      <c r="E437" s="191"/>
      <c r="F437" s="192"/>
      <c r="G437" s="199">
        <v>7</v>
      </c>
      <c r="H437" s="191"/>
      <c r="I437" s="191"/>
      <c r="J437" s="191"/>
      <c r="K437" s="191"/>
      <c r="L437" s="191"/>
      <c r="M437" s="191"/>
      <c r="N437" s="191"/>
      <c r="O437" s="192"/>
      <c r="P437" s="196"/>
      <c r="Q437" s="196"/>
      <c r="R437" s="197"/>
      <c r="S437" s="198"/>
      <c r="T437" s="191"/>
      <c r="U437" s="192"/>
      <c r="V437" s="199">
        <v>7</v>
      </c>
      <c r="W437" s="191"/>
      <c r="X437" s="191"/>
      <c r="Y437" s="191"/>
      <c r="Z437" s="191"/>
      <c r="AA437" s="191"/>
      <c r="AB437" s="191"/>
      <c r="AC437" s="191"/>
      <c r="AD437" s="192"/>
      <c r="AE437" s="196"/>
      <c r="AF437" s="196"/>
      <c r="AG437" s="59" t="s">
        <v>54</v>
      </c>
      <c r="AH437" s="52"/>
      <c r="AI437" s="52"/>
      <c r="AJ437" s="52"/>
      <c r="AK437" s="52"/>
      <c r="AL437" s="52"/>
      <c r="AM437" s="52"/>
      <c r="AN437" s="52"/>
      <c r="AO437" s="52"/>
      <c r="AP437" s="52"/>
      <c r="AQ437" s="66"/>
      <c r="AU437" s="46"/>
      <c r="AV437" s="46"/>
      <c r="AW437" s="46"/>
    </row>
    <row r="438" spans="2:49" ht="13.5" hidden="1" customHeight="1" thickBot="1" x14ac:dyDescent="0.25">
      <c r="B438" s="59"/>
      <c r="C438" s="59"/>
      <c r="D438" s="204"/>
      <c r="E438" s="200"/>
      <c r="F438" s="201"/>
      <c r="G438" s="202">
        <v>8</v>
      </c>
      <c r="H438" s="200"/>
      <c r="I438" s="200"/>
      <c r="J438" s="200"/>
      <c r="K438" s="200"/>
      <c r="L438" s="200"/>
      <c r="M438" s="200"/>
      <c r="N438" s="200"/>
      <c r="O438" s="201"/>
      <c r="P438" s="203"/>
      <c r="Q438" s="203"/>
      <c r="R438" s="197"/>
      <c r="S438" s="204"/>
      <c r="T438" s="200"/>
      <c r="U438" s="201"/>
      <c r="V438" s="202">
        <v>8</v>
      </c>
      <c r="W438" s="200"/>
      <c r="X438" s="200"/>
      <c r="Y438" s="200"/>
      <c r="Z438" s="200"/>
      <c r="AA438" s="200"/>
      <c r="AB438" s="200"/>
      <c r="AC438" s="200"/>
      <c r="AD438" s="201"/>
      <c r="AE438" s="203"/>
      <c r="AF438" s="203"/>
      <c r="AG438" s="89" t="s">
        <v>55</v>
      </c>
      <c r="AH438" s="55"/>
      <c r="AI438" s="55"/>
      <c r="AJ438" s="55"/>
      <c r="AK438" s="55"/>
      <c r="AL438" s="55"/>
      <c r="AM438" s="55"/>
      <c r="AN438" s="55"/>
      <c r="AO438" s="55"/>
      <c r="AP438" s="55"/>
      <c r="AQ438" s="64"/>
      <c r="AU438" s="46"/>
      <c r="AV438" s="46"/>
      <c r="AW438" s="46"/>
    </row>
    <row r="439" spans="2:49" ht="13.5" hidden="1" customHeight="1" thickBot="1" x14ac:dyDescent="0.25">
      <c r="B439" s="59"/>
      <c r="C439" s="59"/>
      <c r="D439" s="74"/>
      <c r="E439" s="90"/>
      <c r="F439" s="90"/>
      <c r="G439" s="90"/>
      <c r="H439" s="90"/>
      <c r="I439" s="90"/>
      <c r="J439" s="91" t="s">
        <v>56</v>
      </c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  <c r="AA439" s="90"/>
      <c r="AB439" s="90"/>
      <c r="AC439" s="90"/>
      <c r="AD439" s="90"/>
      <c r="AE439" s="90"/>
      <c r="AF439" s="92"/>
      <c r="AG439" s="69" t="s">
        <v>57</v>
      </c>
      <c r="AH439" s="52"/>
      <c r="AI439" s="52"/>
      <c r="AJ439" s="52"/>
      <c r="AK439" s="52"/>
      <c r="AL439" s="52"/>
      <c r="AM439" s="52"/>
      <c r="AN439" s="52"/>
      <c r="AO439" s="52"/>
      <c r="AP439" s="52"/>
      <c r="AQ439" s="66"/>
      <c r="AU439" s="46"/>
      <c r="AV439" s="46"/>
      <c r="AW439" s="46"/>
    </row>
    <row r="440" spans="2:49" ht="13.5" hidden="1" customHeight="1" thickBot="1" x14ac:dyDescent="0.25">
      <c r="B440" s="59"/>
      <c r="C440" s="59"/>
      <c r="D440" s="93" t="s">
        <v>58</v>
      </c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2"/>
      <c r="S440" s="93" t="s">
        <v>59</v>
      </c>
      <c r="T440" s="90"/>
      <c r="U440" s="90"/>
      <c r="V440" s="90"/>
      <c r="W440" s="90"/>
      <c r="X440" s="90"/>
      <c r="Y440" s="90"/>
      <c r="Z440" s="90"/>
      <c r="AA440" s="90"/>
      <c r="AB440" s="90"/>
      <c r="AC440" s="90"/>
      <c r="AD440" s="90"/>
      <c r="AE440" s="90"/>
      <c r="AF440" s="92"/>
      <c r="AG440" s="94" t="s">
        <v>60</v>
      </c>
      <c r="AH440" s="95"/>
      <c r="AI440" s="95"/>
      <c r="AJ440" s="95"/>
      <c r="AK440" s="95"/>
      <c r="AL440" s="72"/>
      <c r="AM440" s="96" t="s">
        <v>61</v>
      </c>
      <c r="AN440" s="95"/>
      <c r="AO440" s="95"/>
      <c r="AP440" s="95"/>
      <c r="AQ440" s="72"/>
      <c r="AU440" s="46"/>
      <c r="AV440" s="46"/>
      <c r="AW440" s="46"/>
    </row>
    <row r="441" spans="2:49" ht="17.25" hidden="1" customHeight="1" thickBot="1" x14ac:dyDescent="0.25">
      <c r="B441" s="57"/>
      <c r="C441" s="57"/>
      <c r="D441" s="93" t="s">
        <v>62</v>
      </c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2"/>
      <c r="S441" s="93" t="s">
        <v>6</v>
      </c>
      <c r="T441" s="90"/>
      <c r="U441" s="90"/>
      <c r="V441" s="90"/>
      <c r="W441" s="90"/>
      <c r="X441" s="90"/>
      <c r="Y441" s="90"/>
      <c r="Z441" s="90"/>
      <c r="AA441" s="90"/>
      <c r="AB441" s="90"/>
      <c r="AC441" s="90"/>
      <c r="AD441" s="90"/>
      <c r="AE441" s="90"/>
      <c r="AF441" s="92"/>
      <c r="AG441" s="97" t="s">
        <v>63</v>
      </c>
      <c r="AH441" s="58"/>
      <c r="AI441" s="58"/>
      <c r="AJ441" s="58"/>
      <c r="AK441" s="58"/>
      <c r="AL441" s="72"/>
      <c r="AM441" s="98" t="s">
        <v>64</v>
      </c>
      <c r="AN441" s="58"/>
      <c r="AO441" s="58"/>
      <c r="AP441" s="58"/>
      <c r="AQ441" s="72"/>
      <c r="AU441" s="46"/>
      <c r="AV441" s="46"/>
      <c r="AW441" s="46"/>
    </row>
    <row r="442" spans="2:49" ht="17.25" hidden="1" customHeight="1" x14ac:dyDescent="0.2">
      <c r="B442" s="52"/>
      <c r="C442" s="52"/>
      <c r="D442" s="99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99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100"/>
      <c r="AH442" s="52"/>
      <c r="AI442" s="52"/>
      <c r="AJ442" s="52"/>
      <c r="AK442" s="52"/>
      <c r="AL442" s="52"/>
      <c r="AM442" s="101"/>
      <c r="AN442" s="52"/>
      <c r="AO442" s="52"/>
      <c r="AP442" s="52"/>
      <c r="AQ442" s="52"/>
      <c r="AU442" s="46"/>
      <c r="AV442" s="46"/>
      <c r="AW442" s="46"/>
    </row>
    <row r="443" spans="2:49" ht="15.95" hidden="1" customHeight="1" thickBot="1" x14ac:dyDescent="0.25">
      <c r="AU443" s="46"/>
      <c r="AV443" s="46"/>
      <c r="AW443" s="46"/>
    </row>
    <row r="444" spans="2:49" ht="17.25" hidden="1" customHeight="1" x14ac:dyDescent="0.25">
      <c r="B444" s="53"/>
      <c r="C444" s="53"/>
      <c r="D444" s="54" t="s">
        <v>29</v>
      </c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6" t="s">
        <v>73</v>
      </c>
      <c r="Z444" s="55"/>
      <c r="AA444" s="55"/>
      <c r="AB444" s="55"/>
      <c r="AC444" s="55"/>
      <c r="AD444" s="55"/>
      <c r="AE444" s="55"/>
      <c r="AF444" s="55"/>
      <c r="AG444" s="55"/>
      <c r="AH444" s="433" t="s">
        <v>30</v>
      </c>
      <c r="AI444" s="434"/>
      <c r="AJ444" s="434"/>
      <c r="AK444" s="434"/>
      <c r="AL444" s="434"/>
      <c r="AM444" s="435" t="str">
        <f>IF(($AU$9+13)&gt;$AX$9,"",VLOOKUP($AU$9+13,Spielplan,3,0))</f>
        <v/>
      </c>
      <c r="AN444" s="435"/>
      <c r="AO444" s="435"/>
      <c r="AP444" s="435"/>
      <c r="AQ444" s="436"/>
      <c r="AU444" s="46"/>
      <c r="AV444" s="46"/>
      <c r="AW444" s="46"/>
    </row>
    <row r="445" spans="2:49" ht="0.75" hidden="1" customHeight="1" thickBot="1" x14ac:dyDescent="0.25">
      <c r="B445" s="57"/>
      <c r="C445" s="57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9"/>
      <c r="AI445" s="52"/>
      <c r="AJ445" s="52"/>
      <c r="AK445" s="52"/>
      <c r="AL445" s="52"/>
      <c r="AM445" s="60"/>
      <c r="AN445" s="60"/>
      <c r="AO445" s="60"/>
      <c r="AP445" s="60"/>
      <c r="AQ445" s="61"/>
      <c r="AU445" s="46"/>
      <c r="AV445" s="46"/>
      <c r="AW445" s="46"/>
    </row>
    <row r="446" spans="2:49" ht="15" hidden="1" x14ac:dyDescent="0.25">
      <c r="B446" s="53"/>
      <c r="C446" s="62"/>
      <c r="D446" s="53"/>
      <c r="E446" s="63" t="s">
        <v>6</v>
      </c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64"/>
      <c r="S446" s="437" t="s">
        <v>31</v>
      </c>
      <c r="T446" s="438"/>
      <c r="U446" s="438"/>
      <c r="V446" s="438"/>
      <c r="W446" s="438"/>
      <c r="X446" s="438"/>
      <c r="Y446" s="362" t="str">
        <f>IF(($AU$9+13)&gt;$AX$9,"","SHTV")</f>
        <v/>
      </c>
      <c r="Z446" s="362"/>
      <c r="AA446" s="362"/>
      <c r="AB446" s="362"/>
      <c r="AC446" s="362"/>
      <c r="AD446" s="362"/>
      <c r="AE446" s="362"/>
      <c r="AF446" s="362"/>
      <c r="AG446" s="362"/>
      <c r="AH446" s="416" t="s">
        <v>32</v>
      </c>
      <c r="AI446" s="417"/>
      <c r="AJ446" s="417"/>
      <c r="AK446" s="417"/>
      <c r="AL446" s="417"/>
      <c r="AM446" s="420" t="str">
        <f>IF(($AU$9+13)&gt;$AX$9,"",VLOOKUP($AU$9+13,Spielplan,4,0))</f>
        <v/>
      </c>
      <c r="AN446" s="421"/>
      <c r="AO446" s="421"/>
      <c r="AP446" s="421"/>
      <c r="AQ446" s="422"/>
      <c r="AU446" s="46"/>
      <c r="AV446" s="46"/>
      <c r="AW446" s="46"/>
    </row>
    <row r="447" spans="2:49" ht="9.9499999999999993" hidden="1" customHeight="1" x14ac:dyDescent="0.2">
      <c r="B447" s="59"/>
      <c r="C447" s="65"/>
      <c r="D447" s="59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66"/>
      <c r="S447" s="400"/>
      <c r="T447" s="399"/>
      <c r="U447" s="399"/>
      <c r="V447" s="399"/>
      <c r="W447" s="399"/>
      <c r="X447" s="399"/>
      <c r="Y447" s="402"/>
      <c r="Z447" s="402"/>
      <c r="AA447" s="402"/>
      <c r="AB447" s="402"/>
      <c r="AC447" s="402"/>
      <c r="AD447" s="402"/>
      <c r="AE447" s="402"/>
      <c r="AF447" s="402"/>
      <c r="AG447" s="402"/>
      <c r="AH447" s="418"/>
      <c r="AI447" s="419"/>
      <c r="AJ447" s="419"/>
      <c r="AK447" s="419"/>
      <c r="AL447" s="419"/>
      <c r="AM447" s="423"/>
      <c r="AN447" s="423"/>
      <c r="AO447" s="423"/>
      <c r="AP447" s="423"/>
      <c r="AQ447" s="424"/>
      <c r="AU447" s="46"/>
      <c r="AV447" s="46"/>
      <c r="AW447" s="46"/>
    </row>
    <row r="448" spans="2:49" ht="13.15" hidden="1" customHeight="1" x14ac:dyDescent="0.2">
      <c r="B448" s="59"/>
      <c r="C448" s="65"/>
      <c r="D448" s="59"/>
      <c r="E448" s="52" t="s">
        <v>33</v>
      </c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66"/>
      <c r="S448" s="398" t="s">
        <v>34</v>
      </c>
      <c r="T448" s="399"/>
      <c r="U448" s="399"/>
      <c r="V448" s="399"/>
      <c r="W448" s="399"/>
      <c r="X448" s="399"/>
      <c r="Y448" s="402" t="str">
        <f>IF(($AU$9+13)&gt;$AX$9,"",Platzierung!$U$3)</f>
        <v/>
      </c>
      <c r="Z448" s="402"/>
      <c r="AA448" s="402"/>
      <c r="AB448" s="402"/>
      <c r="AC448" s="402"/>
      <c r="AD448" s="402"/>
      <c r="AE448" s="402"/>
      <c r="AF448" s="402"/>
      <c r="AG448" s="402"/>
      <c r="AH448" s="416" t="s">
        <v>35</v>
      </c>
      <c r="AI448" s="417"/>
      <c r="AJ448" s="417"/>
      <c r="AK448" s="417"/>
      <c r="AL448" s="417"/>
      <c r="AM448" s="420" t="str">
        <f>IF(($AU$9+13)&gt;$AX$9,"",VLOOKUP($AU$9+13,Spielplan,6,0))</f>
        <v/>
      </c>
      <c r="AN448" s="421"/>
      <c r="AO448" s="421"/>
      <c r="AP448" s="421"/>
      <c r="AQ448" s="422"/>
      <c r="AU448" s="46"/>
      <c r="AV448" s="46"/>
      <c r="AW448" s="46"/>
    </row>
    <row r="449" spans="2:49" ht="9.9499999999999993" hidden="1" customHeight="1" x14ac:dyDescent="0.2">
      <c r="B449" s="59"/>
      <c r="C449" s="65"/>
      <c r="D449" s="59"/>
      <c r="E449" s="52"/>
      <c r="F449" s="52"/>
      <c r="G449" s="52"/>
      <c r="H449" s="52"/>
      <c r="I449" s="52"/>
      <c r="J449" s="67" t="s">
        <v>36</v>
      </c>
      <c r="K449" s="52"/>
      <c r="L449" s="52"/>
      <c r="M449" s="52"/>
      <c r="N449" s="52"/>
      <c r="O449" s="52"/>
      <c r="P449" s="52"/>
      <c r="Q449" s="52"/>
      <c r="R449" s="66"/>
      <c r="S449" s="400"/>
      <c r="T449" s="399"/>
      <c r="U449" s="399"/>
      <c r="V449" s="399"/>
      <c r="W449" s="399"/>
      <c r="X449" s="399"/>
      <c r="Y449" s="402"/>
      <c r="Z449" s="402"/>
      <c r="AA449" s="402"/>
      <c r="AB449" s="402"/>
      <c r="AC449" s="402"/>
      <c r="AD449" s="402"/>
      <c r="AE449" s="402"/>
      <c r="AF449" s="402"/>
      <c r="AG449" s="402"/>
      <c r="AH449" s="418"/>
      <c r="AI449" s="419"/>
      <c r="AJ449" s="419"/>
      <c r="AK449" s="419"/>
      <c r="AL449" s="419"/>
      <c r="AM449" s="423"/>
      <c r="AN449" s="423"/>
      <c r="AO449" s="423"/>
      <c r="AP449" s="423"/>
      <c r="AQ449" s="424"/>
      <c r="AU449" s="46"/>
      <c r="AV449" s="46"/>
      <c r="AW449" s="46"/>
    </row>
    <row r="450" spans="2:49" ht="15.75" hidden="1" customHeight="1" x14ac:dyDescent="0.2">
      <c r="B450" s="59"/>
      <c r="C450" s="65"/>
      <c r="D450" s="394" t="str">
        <f>IF(($AU$9+13)&gt;$AX$9,"",VLOOKUP($AU$9+13,Spielplan,10,0))</f>
        <v/>
      </c>
      <c r="E450" s="395"/>
      <c r="F450" s="395"/>
      <c r="G450" s="395"/>
      <c r="H450" s="395"/>
      <c r="I450" s="395"/>
      <c r="J450" s="395"/>
      <c r="K450" s="395"/>
      <c r="L450" s="395"/>
      <c r="M450" s="395"/>
      <c r="N450" s="395"/>
      <c r="O450" s="395"/>
      <c r="P450" s="395"/>
      <c r="Q450" s="395"/>
      <c r="R450" s="396"/>
      <c r="S450" s="398" t="s">
        <v>37</v>
      </c>
      <c r="T450" s="399"/>
      <c r="U450" s="399"/>
      <c r="V450" s="399"/>
      <c r="W450" s="399"/>
      <c r="X450" s="399"/>
      <c r="Y450" s="401" t="str">
        <f>IF(($AU$9+13)&gt;$AX$9,"",VLOOKUP($AU$9+13,Spielplan,2,0))</f>
        <v/>
      </c>
      <c r="Z450" s="402"/>
      <c r="AA450" s="402"/>
      <c r="AB450" s="402"/>
      <c r="AC450" s="402"/>
      <c r="AD450" s="402"/>
      <c r="AE450" s="402"/>
      <c r="AF450" s="402"/>
      <c r="AG450" s="402"/>
      <c r="AH450" s="403" t="s">
        <v>38</v>
      </c>
      <c r="AI450" s="399"/>
      <c r="AJ450" s="399"/>
      <c r="AK450" s="399"/>
      <c r="AL450" s="399"/>
      <c r="AM450" s="425" t="str">
        <f>IF(($AU$9+13)&gt;$AX$9,"",VLOOKUP($AU$9+13,Spielplan,5,0))</f>
        <v/>
      </c>
      <c r="AN450" s="426"/>
      <c r="AO450" s="426"/>
      <c r="AP450" s="426"/>
      <c r="AQ450" s="427"/>
      <c r="AU450" s="46"/>
      <c r="AV450" s="46"/>
      <c r="AW450" s="46"/>
    </row>
    <row r="451" spans="2:49" ht="11.1" hidden="1" customHeight="1" thickBot="1" x14ac:dyDescent="0.25">
      <c r="B451" s="59"/>
      <c r="C451" s="65"/>
      <c r="D451" s="397"/>
      <c r="E451" s="395"/>
      <c r="F451" s="395"/>
      <c r="G451" s="395"/>
      <c r="H451" s="395"/>
      <c r="I451" s="395"/>
      <c r="J451" s="395"/>
      <c r="K451" s="395"/>
      <c r="L451" s="395"/>
      <c r="M451" s="395"/>
      <c r="N451" s="395"/>
      <c r="O451" s="395"/>
      <c r="P451" s="395"/>
      <c r="Q451" s="395"/>
      <c r="R451" s="396"/>
      <c r="S451" s="400"/>
      <c r="T451" s="399"/>
      <c r="U451" s="399"/>
      <c r="V451" s="399"/>
      <c r="W451" s="399"/>
      <c r="X451" s="399"/>
      <c r="Y451" s="402"/>
      <c r="Z451" s="402"/>
      <c r="AA451" s="402"/>
      <c r="AB451" s="402"/>
      <c r="AC451" s="402"/>
      <c r="AD451" s="402"/>
      <c r="AE451" s="402"/>
      <c r="AF451" s="402"/>
      <c r="AG451" s="402"/>
      <c r="AH451" s="404"/>
      <c r="AI451" s="405"/>
      <c r="AJ451" s="405"/>
      <c r="AK451" s="405"/>
      <c r="AL451" s="405"/>
      <c r="AM451" s="428"/>
      <c r="AN451" s="428"/>
      <c r="AO451" s="428"/>
      <c r="AP451" s="428"/>
      <c r="AQ451" s="429"/>
      <c r="AU451" s="46"/>
      <c r="AV451" s="46"/>
      <c r="AW451" s="46"/>
    </row>
    <row r="452" spans="2:49" ht="11.1" hidden="1" customHeight="1" thickBot="1" x14ac:dyDescent="0.25">
      <c r="B452" s="59"/>
      <c r="C452" s="65"/>
      <c r="D452" s="57"/>
      <c r="E452" s="58"/>
      <c r="F452" s="58"/>
      <c r="G452" s="58"/>
      <c r="H452" s="58"/>
      <c r="I452" s="58"/>
      <c r="J452" s="58" t="s">
        <v>39</v>
      </c>
      <c r="K452" s="58"/>
      <c r="L452" s="58"/>
      <c r="M452" s="58"/>
      <c r="N452" s="58"/>
      <c r="O452" s="52"/>
      <c r="P452" s="52"/>
      <c r="Q452" s="58"/>
      <c r="R452" s="68"/>
      <c r="S452" s="59"/>
      <c r="T452" s="52"/>
      <c r="U452" s="52"/>
      <c r="V452" s="52"/>
      <c r="W452" s="52"/>
      <c r="X452" s="52"/>
      <c r="Y452" s="430"/>
      <c r="Z452" s="430"/>
      <c r="AA452" s="430"/>
      <c r="AB452" s="430"/>
      <c r="AC452" s="430"/>
      <c r="AD452" s="430"/>
      <c r="AE452" s="430"/>
      <c r="AF452" s="431"/>
      <c r="AG452" s="432"/>
      <c r="AH452" s="69" t="s">
        <v>40</v>
      </c>
      <c r="AI452" s="52"/>
      <c r="AJ452" s="52"/>
      <c r="AK452" s="52"/>
      <c r="AL452" s="52"/>
      <c r="AM452" s="52"/>
      <c r="AN452" s="52"/>
      <c r="AO452" s="70"/>
      <c r="AP452" s="52"/>
      <c r="AQ452" s="66"/>
      <c r="AU452" s="46"/>
      <c r="AV452" s="46"/>
      <c r="AW452" s="46"/>
    </row>
    <row r="453" spans="2:49" ht="13.5" hidden="1" customHeight="1" thickBot="1" x14ac:dyDescent="0.3">
      <c r="B453" s="59"/>
      <c r="C453" s="65"/>
      <c r="D453" s="53"/>
      <c r="E453" s="63" t="s">
        <v>8</v>
      </c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388" t="s">
        <v>41</v>
      </c>
      <c r="R453" s="53"/>
      <c r="S453" s="53"/>
      <c r="T453" s="63" t="s">
        <v>7</v>
      </c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64"/>
      <c r="AF453" s="391" t="s">
        <v>41</v>
      </c>
      <c r="AG453" s="59"/>
      <c r="AH453" s="71" t="s">
        <v>42</v>
      </c>
      <c r="AI453" s="58"/>
      <c r="AJ453" s="58"/>
      <c r="AK453" s="58"/>
      <c r="AL453" s="58"/>
      <c r="AM453" s="58"/>
      <c r="AN453" s="58"/>
      <c r="AO453" s="72"/>
      <c r="AP453" s="52"/>
      <c r="AQ453" s="66"/>
      <c r="AU453" s="46"/>
      <c r="AV453" s="46"/>
      <c r="AW453" s="46"/>
    </row>
    <row r="454" spans="2:49" ht="12" hidden="1" customHeight="1" thickBot="1" x14ac:dyDescent="0.25">
      <c r="B454" s="59"/>
      <c r="C454" s="65"/>
      <c r="D454" s="394" t="str">
        <f>IF(($AU$9+13)&gt;$AX$9,"",VLOOKUP($AU$9+13,Spielplan,7,0))</f>
        <v/>
      </c>
      <c r="E454" s="395"/>
      <c r="F454" s="395"/>
      <c r="G454" s="395"/>
      <c r="H454" s="395"/>
      <c r="I454" s="395"/>
      <c r="J454" s="395"/>
      <c r="K454" s="395"/>
      <c r="L454" s="395"/>
      <c r="M454" s="395"/>
      <c r="N454" s="395"/>
      <c r="O454" s="395"/>
      <c r="P454" s="396"/>
      <c r="Q454" s="389"/>
      <c r="R454" s="59"/>
      <c r="S454" s="394" t="str">
        <f>IF(($AU$9+13)&gt;$AX$9,"",VLOOKUP($AU$9+13,Spielplan,9,0))</f>
        <v/>
      </c>
      <c r="T454" s="395"/>
      <c r="U454" s="395"/>
      <c r="V454" s="395"/>
      <c r="W454" s="395"/>
      <c r="X454" s="395"/>
      <c r="Y454" s="395"/>
      <c r="Z454" s="395"/>
      <c r="AA454" s="395"/>
      <c r="AB454" s="395"/>
      <c r="AC454" s="395"/>
      <c r="AD454" s="395"/>
      <c r="AE454" s="409"/>
      <c r="AF454" s="392"/>
      <c r="AG454" s="59"/>
      <c r="AH454" s="410" t="s">
        <v>43</v>
      </c>
      <c r="AI454" s="411"/>
      <c r="AJ454" s="411"/>
      <c r="AK454" s="411"/>
      <c r="AL454" s="411"/>
      <c r="AM454" s="412"/>
      <c r="AN454" s="73" t="s">
        <v>44</v>
      </c>
      <c r="AO454" s="74"/>
      <c r="AP454" s="74"/>
      <c r="AQ454" s="72"/>
      <c r="AU454" s="46"/>
      <c r="AV454" s="46"/>
      <c r="AW454" s="46"/>
    </row>
    <row r="455" spans="2:49" ht="12" hidden="1" customHeight="1" thickBot="1" x14ac:dyDescent="0.25">
      <c r="B455" s="57"/>
      <c r="C455" s="70"/>
      <c r="D455" s="406"/>
      <c r="E455" s="407"/>
      <c r="F455" s="407"/>
      <c r="G455" s="407"/>
      <c r="H455" s="407"/>
      <c r="I455" s="407"/>
      <c r="J455" s="407"/>
      <c r="K455" s="407"/>
      <c r="L455" s="407"/>
      <c r="M455" s="407"/>
      <c r="N455" s="407"/>
      <c r="O455" s="407"/>
      <c r="P455" s="408"/>
      <c r="Q455" s="390"/>
      <c r="R455" s="57"/>
      <c r="S455" s="406"/>
      <c r="T455" s="407"/>
      <c r="U455" s="407"/>
      <c r="V455" s="407"/>
      <c r="W455" s="407"/>
      <c r="X455" s="407"/>
      <c r="Y455" s="407"/>
      <c r="Z455" s="407"/>
      <c r="AA455" s="407"/>
      <c r="AB455" s="407"/>
      <c r="AC455" s="407"/>
      <c r="AD455" s="407"/>
      <c r="AE455" s="385"/>
      <c r="AF455" s="393"/>
      <c r="AG455" s="57"/>
      <c r="AH455" s="413"/>
      <c r="AI455" s="414"/>
      <c r="AJ455" s="414"/>
      <c r="AK455" s="414"/>
      <c r="AL455" s="414"/>
      <c r="AM455" s="415"/>
      <c r="AN455" s="73" t="s">
        <v>45</v>
      </c>
      <c r="AO455" s="74"/>
      <c r="AP455" s="74"/>
      <c r="AQ455" s="72"/>
      <c r="AU455" s="46"/>
      <c r="AV455" s="46"/>
      <c r="AW455" s="46"/>
    </row>
    <row r="456" spans="2:49" ht="9.9499999999999993" hidden="1" customHeight="1" thickBot="1" x14ac:dyDescent="0.25">
      <c r="B456" s="59"/>
      <c r="C456" s="59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66"/>
      <c r="AU456" s="46"/>
      <c r="AV456" s="46"/>
      <c r="AW456" s="46"/>
    </row>
    <row r="457" spans="2:49" hidden="1" x14ac:dyDescent="0.2">
      <c r="B457" s="53"/>
      <c r="C457" s="62" t="s">
        <v>44</v>
      </c>
      <c r="D457" s="75"/>
      <c r="E457" s="76"/>
      <c r="F457" s="76"/>
      <c r="G457" s="76"/>
      <c r="H457" s="77"/>
      <c r="I457" s="75"/>
      <c r="J457" s="76"/>
      <c r="K457" s="76"/>
      <c r="L457" s="76"/>
      <c r="M457" s="77"/>
      <c r="N457" s="75"/>
      <c r="O457" s="76"/>
      <c r="P457" s="76"/>
      <c r="Q457" s="76"/>
      <c r="R457" s="77"/>
      <c r="S457" s="75"/>
      <c r="T457" s="76"/>
      <c r="U457" s="76"/>
      <c r="V457" s="76"/>
      <c r="W457" s="77"/>
      <c r="X457" s="75"/>
      <c r="Y457" s="76"/>
      <c r="Z457" s="76"/>
      <c r="AA457" s="76"/>
      <c r="AB457" s="77"/>
      <c r="AC457" s="75"/>
      <c r="AD457" s="76"/>
      <c r="AE457" s="76"/>
      <c r="AF457" s="76"/>
      <c r="AG457" s="77"/>
      <c r="AH457" s="75"/>
      <c r="AI457" s="76"/>
      <c r="AJ457" s="76"/>
      <c r="AK457" s="76"/>
      <c r="AL457" s="76"/>
      <c r="AM457" s="188" t="s">
        <v>44</v>
      </c>
      <c r="AN457" s="386"/>
      <c r="AO457" s="386"/>
      <c r="AP457" s="386"/>
      <c r="AQ457" s="387"/>
      <c r="AU457" s="46"/>
      <c r="AV457" s="46"/>
      <c r="AW457" s="46"/>
    </row>
    <row r="458" spans="2:49" ht="13.5" hidden="1" thickBot="1" x14ac:dyDescent="0.25">
      <c r="B458" s="57"/>
      <c r="C458" s="70" t="s">
        <v>45</v>
      </c>
      <c r="D458" s="57"/>
      <c r="E458" s="78"/>
      <c r="F458" s="78"/>
      <c r="G458" s="78"/>
      <c r="H458" s="79"/>
      <c r="I458" s="57"/>
      <c r="J458" s="78"/>
      <c r="K458" s="78"/>
      <c r="L458" s="78"/>
      <c r="M458" s="79"/>
      <c r="N458" s="57"/>
      <c r="O458" s="78"/>
      <c r="P458" s="78"/>
      <c r="Q458" s="78"/>
      <c r="R458" s="79"/>
      <c r="S458" s="57"/>
      <c r="T458" s="78"/>
      <c r="U458" s="78"/>
      <c r="V458" s="78"/>
      <c r="W458" s="79"/>
      <c r="X458" s="57"/>
      <c r="Y458" s="78"/>
      <c r="Z458" s="78"/>
      <c r="AA458" s="78"/>
      <c r="AB458" s="79"/>
      <c r="AC458" s="57"/>
      <c r="AD458" s="78"/>
      <c r="AE458" s="78"/>
      <c r="AF458" s="78"/>
      <c r="AG458" s="79"/>
      <c r="AH458" s="57"/>
      <c r="AI458" s="78"/>
      <c r="AJ458" s="78"/>
      <c r="AK458" s="78"/>
      <c r="AL458" s="78"/>
      <c r="AM458" s="190" t="s">
        <v>45</v>
      </c>
      <c r="AN458" s="323"/>
      <c r="AO458" s="323"/>
      <c r="AP458" s="323"/>
      <c r="AQ458" s="324"/>
      <c r="AU458" s="46"/>
      <c r="AV458" s="46"/>
      <c r="AW458" s="46"/>
    </row>
    <row r="459" spans="2:49" hidden="1" x14ac:dyDescent="0.2">
      <c r="B459" s="53"/>
      <c r="C459" s="62" t="s">
        <v>44</v>
      </c>
      <c r="D459" s="75"/>
      <c r="E459" s="76"/>
      <c r="F459" s="76"/>
      <c r="G459" s="76"/>
      <c r="H459" s="77"/>
      <c r="I459" s="75"/>
      <c r="J459" s="76"/>
      <c r="K459" s="76"/>
      <c r="L459" s="76"/>
      <c r="M459" s="77"/>
      <c r="N459" s="75"/>
      <c r="O459" s="76"/>
      <c r="P459" s="76"/>
      <c r="Q459" s="76"/>
      <c r="R459" s="77"/>
      <c r="S459" s="75"/>
      <c r="T459" s="76"/>
      <c r="U459" s="76"/>
      <c r="V459" s="76"/>
      <c r="W459" s="77"/>
      <c r="X459" s="75"/>
      <c r="Y459" s="76"/>
      <c r="Z459" s="76"/>
      <c r="AA459" s="76"/>
      <c r="AB459" s="77"/>
      <c r="AC459" s="75"/>
      <c r="AD459" s="76"/>
      <c r="AE459" s="76"/>
      <c r="AF459" s="76"/>
      <c r="AG459" s="77"/>
      <c r="AH459" s="75"/>
      <c r="AI459" s="76"/>
      <c r="AJ459" s="76"/>
      <c r="AK459" s="76"/>
      <c r="AL459" s="76"/>
      <c r="AM459" s="188" t="s">
        <v>44</v>
      </c>
      <c r="AN459" s="386"/>
      <c r="AO459" s="386"/>
      <c r="AP459" s="386"/>
      <c r="AQ459" s="387"/>
      <c r="AU459" s="46"/>
      <c r="AV459" s="46"/>
      <c r="AW459" s="46"/>
    </row>
    <row r="460" spans="2:49" ht="13.5" hidden="1" thickBot="1" x14ac:dyDescent="0.25">
      <c r="B460" s="57"/>
      <c r="C460" s="70" t="s">
        <v>45</v>
      </c>
      <c r="D460" s="57"/>
      <c r="E460" s="78"/>
      <c r="F460" s="78"/>
      <c r="G460" s="78"/>
      <c r="H460" s="79"/>
      <c r="I460" s="57"/>
      <c r="J460" s="78"/>
      <c r="K460" s="78"/>
      <c r="L460" s="78"/>
      <c r="M460" s="79"/>
      <c r="N460" s="57"/>
      <c r="O460" s="78"/>
      <c r="P460" s="78"/>
      <c r="Q460" s="78"/>
      <c r="R460" s="79"/>
      <c r="S460" s="57"/>
      <c r="T460" s="78"/>
      <c r="U460" s="78"/>
      <c r="V460" s="78"/>
      <c r="W460" s="79"/>
      <c r="X460" s="57"/>
      <c r="Y460" s="78"/>
      <c r="Z460" s="78"/>
      <c r="AA460" s="78"/>
      <c r="AB460" s="79"/>
      <c r="AC460" s="57"/>
      <c r="AD460" s="78"/>
      <c r="AE460" s="78"/>
      <c r="AF460" s="78"/>
      <c r="AG460" s="79"/>
      <c r="AH460" s="57"/>
      <c r="AI460" s="78"/>
      <c r="AJ460" s="78"/>
      <c r="AK460" s="78"/>
      <c r="AL460" s="78"/>
      <c r="AM460" s="189" t="s">
        <v>45</v>
      </c>
      <c r="AN460" s="338"/>
      <c r="AO460" s="338"/>
      <c r="AP460" s="338"/>
      <c r="AQ460" s="339"/>
      <c r="AU460" s="46"/>
      <c r="AV460" s="46"/>
      <c r="AW460" s="46"/>
    </row>
    <row r="461" spans="2:49" hidden="1" x14ac:dyDescent="0.2">
      <c r="B461" s="53"/>
      <c r="C461" s="62" t="s">
        <v>44</v>
      </c>
      <c r="D461" s="75"/>
      <c r="E461" s="76"/>
      <c r="F461" s="76"/>
      <c r="G461" s="76"/>
      <c r="H461" s="77"/>
      <c r="I461" s="75"/>
      <c r="J461" s="76"/>
      <c r="K461" s="76"/>
      <c r="L461" s="76"/>
      <c r="M461" s="77"/>
      <c r="N461" s="75"/>
      <c r="O461" s="76"/>
      <c r="P461" s="76"/>
      <c r="Q461" s="76"/>
      <c r="R461" s="77"/>
      <c r="S461" s="75"/>
      <c r="T461" s="76"/>
      <c r="U461" s="76"/>
      <c r="V461" s="76"/>
      <c r="W461" s="77"/>
      <c r="X461" s="75"/>
      <c r="Y461" s="76"/>
      <c r="Z461" s="76"/>
      <c r="AA461" s="76"/>
      <c r="AB461" s="77"/>
      <c r="AC461" s="75"/>
      <c r="AD461" s="76"/>
      <c r="AE461" s="76"/>
      <c r="AF461" s="76"/>
      <c r="AG461" s="77"/>
      <c r="AH461" s="75"/>
      <c r="AI461" s="76"/>
      <c r="AJ461" s="76"/>
      <c r="AK461" s="76"/>
      <c r="AL461" s="76"/>
      <c r="AM461" s="188" t="s">
        <v>44</v>
      </c>
      <c r="AN461" s="386"/>
      <c r="AO461" s="386"/>
      <c r="AP461" s="386"/>
      <c r="AQ461" s="387"/>
      <c r="AU461" s="46"/>
      <c r="AV461" s="46"/>
      <c r="AW461" s="46"/>
    </row>
    <row r="462" spans="2:49" ht="13.5" hidden="1" thickBot="1" x14ac:dyDescent="0.25">
      <c r="B462" s="57"/>
      <c r="C462" s="70" t="s">
        <v>45</v>
      </c>
      <c r="D462" s="57"/>
      <c r="E462" s="78"/>
      <c r="F462" s="78"/>
      <c r="G462" s="78"/>
      <c r="H462" s="79"/>
      <c r="I462" s="57"/>
      <c r="J462" s="78"/>
      <c r="K462" s="78"/>
      <c r="L462" s="78"/>
      <c r="M462" s="79"/>
      <c r="N462" s="57"/>
      <c r="O462" s="78"/>
      <c r="P462" s="78"/>
      <c r="Q462" s="78"/>
      <c r="R462" s="79"/>
      <c r="S462" s="57"/>
      <c r="T462" s="78"/>
      <c r="U462" s="78"/>
      <c r="V462" s="78"/>
      <c r="W462" s="79"/>
      <c r="X462" s="57"/>
      <c r="Y462" s="78"/>
      <c r="Z462" s="78"/>
      <c r="AA462" s="78"/>
      <c r="AB462" s="79"/>
      <c r="AC462" s="57"/>
      <c r="AD462" s="78"/>
      <c r="AE462" s="78"/>
      <c r="AF462" s="78"/>
      <c r="AG462" s="79"/>
      <c r="AH462" s="57"/>
      <c r="AI462" s="78"/>
      <c r="AJ462" s="78"/>
      <c r="AK462" s="78"/>
      <c r="AL462" s="78"/>
      <c r="AM462" s="189" t="s">
        <v>45</v>
      </c>
      <c r="AN462" s="338"/>
      <c r="AO462" s="338"/>
      <c r="AP462" s="338"/>
      <c r="AQ462" s="339"/>
      <c r="AU462" s="46"/>
      <c r="AV462" s="46"/>
      <c r="AW462" s="46"/>
    </row>
    <row r="463" spans="2:49" ht="9.9499999999999993" hidden="1" customHeight="1" x14ac:dyDescent="0.2">
      <c r="B463" s="59"/>
      <c r="C463" s="59"/>
      <c r="D463" s="374" t="s">
        <v>46</v>
      </c>
      <c r="E463" s="375"/>
      <c r="F463" s="376"/>
      <c r="G463" s="380" t="s">
        <v>47</v>
      </c>
      <c r="H463" s="381"/>
      <c r="I463" s="381"/>
      <c r="J463" s="381"/>
      <c r="K463" s="381"/>
      <c r="L463" s="381"/>
      <c r="M463" s="381"/>
      <c r="N463" s="381"/>
      <c r="O463" s="382"/>
      <c r="P463" s="359" t="s">
        <v>41</v>
      </c>
      <c r="Q463" s="359" t="s">
        <v>48</v>
      </c>
      <c r="R463" s="52"/>
      <c r="S463" s="374" t="s">
        <v>46</v>
      </c>
      <c r="T463" s="375"/>
      <c r="U463" s="376"/>
      <c r="V463" s="380" t="s">
        <v>47</v>
      </c>
      <c r="W463" s="381"/>
      <c r="X463" s="381"/>
      <c r="Y463" s="381"/>
      <c r="Z463" s="381"/>
      <c r="AA463" s="381"/>
      <c r="AB463" s="381"/>
      <c r="AC463" s="381"/>
      <c r="AD463" s="382"/>
      <c r="AE463" s="359" t="s">
        <v>41</v>
      </c>
      <c r="AF463" s="359" t="s">
        <v>48</v>
      </c>
      <c r="AG463" s="80"/>
      <c r="AH463" s="81"/>
      <c r="AI463" s="81"/>
      <c r="AJ463" s="81"/>
      <c r="AK463" s="81"/>
      <c r="AL463" s="81"/>
      <c r="AM463" s="99"/>
      <c r="AN463" s="373" t="s">
        <v>1</v>
      </c>
      <c r="AO463" s="373"/>
      <c r="AP463" s="373" t="s">
        <v>2</v>
      </c>
      <c r="AQ463" s="373"/>
      <c r="AR463" s="82"/>
      <c r="AU463" s="46"/>
      <c r="AV463" s="46"/>
      <c r="AW463" s="46"/>
    </row>
    <row r="464" spans="2:49" ht="13.5" hidden="1" thickBot="1" x14ac:dyDescent="0.25">
      <c r="B464" s="59"/>
      <c r="C464" s="59"/>
      <c r="D464" s="377"/>
      <c r="E464" s="378"/>
      <c r="F464" s="379"/>
      <c r="G464" s="383"/>
      <c r="H464" s="384"/>
      <c r="I464" s="384"/>
      <c r="J464" s="384"/>
      <c r="K464" s="384"/>
      <c r="L464" s="384"/>
      <c r="M464" s="384"/>
      <c r="N464" s="384"/>
      <c r="O464" s="385"/>
      <c r="P464" s="360"/>
      <c r="Q464" s="360"/>
      <c r="R464" s="52"/>
      <c r="S464" s="377"/>
      <c r="T464" s="378"/>
      <c r="U464" s="379"/>
      <c r="V464" s="383"/>
      <c r="W464" s="384"/>
      <c r="X464" s="384"/>
      <c r="Y464" s="384"/>
      <c r="Z464" s="384"/>
      <c r="AA464" s="384"/>
      <c r="AB464" s="384"/>
      <c r="AC464" s="384"/>
      <c r="AD464" s="385"/>
      <c r="AE464" s="360"/>
      <c r="AF464" s="360"/>
      <c r="AG464" s="83"/>
      <c r="AH464" s="52"/>
      <c r="AI464" s="84" t="s">
        <v>49</v>
      </c>
      <c r="AJ464" s="84"/>
      <c r="AK464" s="84"/>
      <c r="AL464" s="84"/>
      <c r="AM464" s="84"/>
      <c r="AN464" s="84"/>
      <c r="AO464" s="85"/>
      <c r="AP464" s="85"/>
      <c r="AQ464" s="86"/>
      <c r="AR464" s="82"/>
      <c r="AU464" s="46"/>
      <c r="AV464" s="46"/>
      <c r="AW464" s="46"/>
    </row>
    <row r="465" spans="2:49" ht="13.5" hidden="1" customHeight="1" x14ac:dyDescent="0.2">
      <c r="B465" s="59"/>
      <c r="C465" s="59"/>
      <c r="D465" s="198"/>
      <c r="E465" s="191"/>
      <c r="F465" s="192"/>
      <c r="G465" s="193" t="s">
        <v>50</v>
      </c>
      <c r="H465" s="194"/>
      <c r="I465" s="194"/>
      <c r="J465" s="194"/>
      <c r="K465" s="194"/>
      <c r="L465" s="194"/>
      <c r="M465" s="194"/>
      <c r="N465" s="194"/>
      <c r="O465" s="195"/>
      <c r="P465" s="196"/>
      <c r="Q465" s="196"/>
      <c r="R465" s="197"/>
      <c r="S465" s="198"/>
      <c r="T465" s="191"/>
      <c r="U465" s="192"/>
      <c r="V465" s="193" t="s">
        <v>50</v>
      </c>
      <c r="W465" s="194"/>
      <c r="X465" s="194"/>
      <c r="Y465" s="194"/>
      <c r="Z465" s="194"/>
      <c r="AA465" s="194"/>
      <c r="AB465" s="194"/>
      <c r="AC465" s="194"/>
      <c r="AD465" s="195"/>
      <c r="AE465" s="196"/>
      <c r="AF465" s="196"/>
      <c r="AG465" s="361" t="s">
        <v>68</v>
      </c>
      <c r="AH465" s="362"/>
      <c r="AI465" s="362"/>
      <c r="AJ465" s="363"/>
      <c r="AK465" s="367" t="s">
        <v>51</v>
      </c>
      <c r="AL465" s="368"/>
      <c r="AM465" s="368"/>
      <c r="AN465" s="368"/>
      <c r="AO465" s="368"/>
      <c r="AP465" s="368"/>
      <c r="AQ465" s="369"/>
      <c r="AU465" s="46"/>
      <c r="AV465" s="46"/>
      <c r="AW465" s="46"/>
    </row>
    <row r="466" spans="2:49" ht="13.5" hidden="1" customHeight="1" thickBot="1" x14ac:dyDescent="0.25">
      <c r="B466" s="59"/>
      <c r="C466" s="59"/>
      <c r="D466" s="198"/>
      <c r="E466" s="191"/>
      <c r="F466" s="192"/>
      <c r="G466" s="199">
        <v>2</v>
      </c>
      <c r="H466" s="191"/>
      <c r="I466" s="191"/>
      <c r="J466" s="191"/>
      <c r="K466" s="191"/>
      <c r="L466" s="191"/>
      <c r="M466" s="191"/>
      <c r="N466" s="191"/>
      <c r="O466" s="192"/>
      <c r="P466" s="196"/>
      <c r="Q466" s="196"/>
      <c r="R466" s="197"/>
      <c r="S466" s="198"/>
      <c r="T466" s="191"/>
      <c r="U466" s="192"/>
      <c r="V466" s="199">
        <v>2</v>
      </c>
      <c r="W466" s="191"/>
      <c r="X466" s="191"/>
      <c r="Y466" s="191"/>
      <c r="Z466" s="191"/>
      <c r="AA466" s="191"/>
      <c r="AB466" s="191"/>
      <c r="AC466" s="191"/>
      <c r="AD466" s="192"/>
      <c r="AE466" s="196"/>
      <c r="AF466" s="196"/>
      <c r="AG466" s="364"/>
      <c r="AH466" s="365"/>
      <c r="AI466" s="365"/>
      <c r="AJ466" s="366"/>
      <c r="AK466" s="370"/>
      <c r="AL466" s="371"/>
      <c r="AM466" s="371"/>
      <c r="AN466" s="371"/>
      <c r="AO466" s="371"/>
      <c r="AP466" s="371"/>
      <c r="AQ466" s="372"/>
      <c r="AU466" s="46"/>
      <c r="AV466" s="46"/>
      <c r="AW466" s="46"/>
    </row>
    <row r="467" spans="2:49" ht="13.5" hidden="1" customHeight="1" x14ac:dyDescent="0.2">
      <c r="B467" s="59"/>
      <c r="C467" s="59"/>
      <c r="D467" s="198"/>
      <c r="E467" s="191"/>
      <c r="F467" s="192"/>
      <c r="G467" s="199">
        <v>3</v>
      </c>
      <c r="H467" s="191"/>
      <c r="I467" s="191"/>
      <c r="J467" s="191"/>
      <c r="K467" s="191"/>
      <c r="L467" s="191"/>
      <c r="M467" s="191"/>
      <c r="N467" s="191"/>
      <c r="O467" s="192"/>
      <c r="P467" s="196"/>
      <c r="Q467" s="196"/>
      <c r="R467" s="197"/>
      <c r="S467" s="198"/>
      <c r="T467" s="191"/>
      <c r="U467" s="192"/>
      <c r="V467" s="199">
        <v>3</v>
      </c>
      <c r="W467" s="191"/>
      <c r="X467" s="191"/>
      <c r="Y467" s="191"/>
      <c r="Z467" s="191"/>
      <c r="AA467" s="191"/>
      <c r="AB467" s="191"/>
      <c r="AC467" s="191"/>
      <c r="AD467" s="192"/>
      <c r="AE467" s="196"/>
      <c r="AF467" s="196"/>
      <c r="AG467" s="361" t="s">
        <v>2</v>
      </c>
      <c r="AH467" s="362"/>
      <c r="AI467" s="362"/>
      <c r="AJ467" s="363"/>
      <c r="AK467" s="367" t="s">
        <v>51</v>
      </c>
      <c r="AL467" s="368"/>
      <c r="AM467" s="368"/>
      <c r="AN467" s="368"/>
      <c r="AO467" s="368"/>
      <c r="AP467" s="368"/>
      <c r="AQ467" s="369"/>
      <c r="AU467" s="46"/>
      <c r="AV467" s="46"/>
      <c r="AW467" s="46"/>
    </row>
    <row r="468" spans="2:49" ht="13.5" hidden="1" customHeight="1" thickBot="1" x14ac:dyDescent="0.25">
      <c r="B468" s="59"/>
      <c r="C468" s="59"/>
      <c r="D468" s="198"/>
      <c r="E468" s="191"/>
      <c r="F468" s="192"/>
      <c r="G468" s="199">
        <v>4</v>
      </c>
      <c r="H468" s="191"/>
      <c r="I468" s="191"/>
      <c r="J468" s="191"/>
      <c r="K468" s="191"/>
      <c r="L468" s="191"/>
      <c r="M468" s="191"/>
      <c r="N468" s="191"/>
      <c r="O468" s="192"/>
      <c r="P468" s="196"/>
      <c r="Q468" s="196"/>
      <c r="R468" s="197"/>
      <c r="S468" s="198"/>
      <c r="T468" s="191"/>
      <c r="U468" s="192"/>
      <c r="V468" s="199">
        <v>4</v>
      </c>
      <c r="W468" s="191"/>
      <c r="X468" s="191"/>
      <c r="Y468" s="191"/>
      <c r="Z468" s="191"/>
      <c r="AA468" s="191"/>
      <c r="AB468" s="191"/>
      <c r="AC468" s="191"/>
      <c r="AD468" s="192"/>
      <c r="AE468" s="196"/>
      <c r="AF468" s="196"/>
      <c r="AG468" s="364"/>
      <c r="AH468" s="365"/>
      <c r="AI468" s="365"/>
      <c r="AJ468" s="366"/>
      <c r="AK468" s="370"/>
      <c r="AL468" s="371"/>
      <c r="AM468" s="371"/>
      <c r="AN468" s="371"/>
      <c r="AO468" s="371"/>
      <c r="AP468" s="371"/>
      <c r="AQ468" s="372"/>
      <c r="AU468" s="46"/>
      <c r="AV468" s="46"/>
      <c r="AW468" s="46"/>
    </row>
    <row r="469" spans="2:49" ht="13.5" hidden="1" customHeight="1" x14ac:dyDescent="0.2">
      <c r="B469" s="59"/>
      <c r="C469" s="59"/>
      <c r="D469" s="198"/>
      <c r="E469" s="191"/>
      <c r="F469" s="192"/>
      <c r="G469" s="199">
        <v>5</v>
      </c>
      <c r="H469" s="191"/>
      <c r="I469" s="191"/>
      <c r="J469" s="191"/>
      <c r="K469" s="191"/>
      <c r="L469" s="191"/>
      <c r="M469" s="191"/>
      <c r="N469" s="191"/>
      <c r="O469" s="192"/>
      <c r="P469" s="196"/>
      <c r="Q469" s="196"/>
      <c r="R469" s="197"/>
      <c r="S469" s="198"/>
      <c r="T469" s="191"/>
      <c r="U469" s="192"/>
      <c r="V469" s="199">
        <v>5</v>
      </c>
      <c r="W469" s="191"/>
      <c r="X469" s="191"/>
      <c r="Y469" s="191"/>
      <c r="Z469" s="191"/>
      <c r="AA469" s="191"/>
      <c r="AB469" s="191"/>
      <c r="AC469" s="191"/>
      <c r="AD469" s="192"/>
      <c r="AE469" s="196"/>
      <c r="AF469" s="196"/>
      <c r="AG469" s="87" t="s">
        <v>52</v>
      </c>
      <c r="AH469" s="55"/>
      <c r="AI469" s="55"/>
      <c r="AJ469" s="55"/>
      <c r="AK469" s="55"/>
      <c r="AL469" s="55"/>
      <c r="AM469" s="55"/>
      <c r="AN469" s="55"/>
      <c r="AO469" s="55" t="s">
        <v>53</v>
      </c>
      <c r="AP469" s="55"/>
      <c r="AQ469" s="64"/>
      <c r="AU469" s="46"/>
      <c r="AV469" s="46"/>
      <c r="AW469" s="46"/>
    </row>
    <row r="470" spans="2:49" ht="13.5" hidden="1" customHeight="1" x14ac:dyDescent="0.2">
      <c r="B470" s="59"/>
      <c r="C470" s="59"/>
      <c r="D470" s="198"/>
      <c r="E470" s="191"/>
      <c r="F470" s="192"/>
      <c r="G470" s="199">
        <v>6</v>
      </c>
      <c r="H470" s="191"/>
      <c r="I470" s="191"/>
      <c r="J470" s="191"/>
      <c r="K470" s="191"/>
      <c r="L470" s="191"/>
      <c r="M470" s="191"/>
      <c r="N470" s="191"/>
      <c r="O470" s="192"/>
      <c r="P470" s="196"/>
      <c r="Q470" s="196"/>
      <c r="R470" s="197"/>
      <c r="S470" s="198"/>
      <c r="T470" s="191"/>
      <c r="U470" s="192"/>
      <c r="V470" s="199">
        <v>6</v>
      </c>
      <c r="W470" s="191"/>
      <c r="X470" s="191"/>
      <c r="Y470" s="191"/>
      <c r="Z470" s="191"/>
      <c r="AA470" s="191"/>
      <c r="AB470" s="191"/>
      <c r="AC470" s="191"/>
      <c r="AD470" s="192"/>
      <c r="AE470" s="196"/>
      <c r="AF470" s="196"/>
      <c r="AG470" s="88"/>
      <c r="AH470" s="52"/>
      <c r="AI470" s="52"/>
      <c r="AJ470" s="52"/>
      <c r="AK470" s="52"/>
      <c r="AL470" s="52"/>
      <c r="AM470" s="52"/>
      <c r="AN470" s="52"/>
      <c r="AO470" s="52"/>
      <c r="AP470" s="52"/>
      <c r="AQ470" s="66"/>
      <c r="AU470" s="46"/>
      <c r="AV470" s="46"/>
      <c r="AW470" s="46"/>
    </row>
    <row r="471" spans="2:49" ht="13.5" hidden="1" customHeight="1" thickBot="1" x14ac:dyDescent="0.25">
      <c r="B471" s="59"/>
      <c r="C471" s="59"/>
      <c r="D471" s="198"/>
      <c r="E471" s="191"/>
      <c r="F471" s="192"/>
      <c r="G471" s="199">
        <v>7</v>
      </c>
      <c r="H471" s="191"/>
      <c r="I471" s="191"/>
      <c r="J471" s="191"/>
      <c r="K471" s="191"/>
      <c r="L471" s="191"/>
      <c r="M471" s="191"/>
      <c r="N471" s="191"/>
      <c r="O471" s="192"/>
      <c r="P471" s="196"/>
      <c r="Q471" s="196"/>
      <c r="R471" s="197"/>
      <c r="S471" s="198"/>
      <c r="T471" s="191"/>
      <c r="U471" s="192"/>
      <c r="V471" s="199">
        <v>7</v>
      </c>
      <c r="W471" s="191"/>
      <c r="X471" s="191"/>
      <c r="Y471" s="191"/>
      <c r="Z471" s="191"/>
      <c r="AA471" s="191"/>
      <c r="AB471" s="191"/>
      <c r="AC471" s="191"/>
      <c r="AD471" s="192"/>
      <c r="AE471" s="196"/>
      <c r="AF471" s="196"/>
      <c r="AG471" s="59" t="s">
        <v>54</v>
      </c>
      <c r="AH471" s="52"/>
      <c r="AI471" s="52"/>
      <c r="AJ471" s="52"/>
      <c r="AK471" s="52"/>
      <c r="AL471" s="52"/>
      <c r="AM471" s="52"/>
      <c r="AN471" s="52"/>
      <c r="AO471" s="52"/>
      <c r="AP471" s="52"/>
      <c r="AQ471" s="66"/>
      <c r="AU471" s="46"/>
      <c r="AV471" s="46"/>
      <c r="AW471" s="46"/>
    </row>
    <row r="472" spans="2:49" ht="13.5" hidden="1" customHeight="1" thickBot="1" x14ac:dyDescent="0.25">
      <c r="B472" s="59"/>
      <c r="C472" s="59"/>
      <c r="D472" s="204"/>
      <c r="E472" s="200"/>
      <c r="F472" s="201"/>
      <c r="G472" s="202">
        <v>8</v>
      </c>
      <c r="H472" s="200"/>
      <c r="I472" s="200"/>
      <c r="J472" s="200"/>
      <c r="K472" s="200"/>
      <c r="L472" s="200"/>
      <c r="M472" s="200"/>
      <c r="N472" s="200"/>
      <c r="O472" s="201"/>
      <c r="P472" s="203"/>
      <c r="Q472" s="203"/>
      <c r="R472" s="197"/>
      <c r="S472" s="204"/>
      <c r="T472" s="200"/>
      <c r="U472" s="201"/>
      <c r="V472" s="202">
        <v>8</v>
      </c>
      <c r="W472" s="200"/>
      <c r="X472" s="200"/>
      <c r="Y472" s="200"/>
      <c r="Z472" s="200"/>
      <c r="AA472" s="200"/>
      <c r="AB472" s="200"/>
      <c r="AC472" s="200"/>
      <c r="AD472" s="201"/>
      <c r="AE472" s="203"/>
      <c r="AF472" s="203"/>
      <c r="AG472" s="89" t="s">
        <v>55</v>
      </c>
      <c r="AH472" s="55"/>
      <c r="AI472" s="55"/>
      <c r="AJ472" s="55"/>
      <c r="AK472" s="55"/>
      <c r="AL472" s="55"/>
      <c r="AM472" s="55"/>
      <c r="AN472" s="55"/>
      <c r="AO472" s="55"/>
      <c r="AP472" s="55"/>
      <c r="AQ472" s="64"/>
      <c r="AU472" s="46"/>
      <c r="AV472" s="46"/>
      <c r="AW472" s="46"/>
    </row>
    <row r="473" spans="2:49" ht="13.5" hidden="1" customHeight="1" thickBot="1" x14ac:dyDescent="0.25">
      <c r="B473" s="59"/>
      <c r="C473" s="59"/>
      <c r="D473" s="74"/>
      <c r="E473" s="90"/>
      <c r="F473" s="90"/>
      <c r="G473" s="90"/>
      <c r="H473" s="90"/>
      <c r="I473" s="90"/>
      <c r="J473" s="91" t="s">
        <v>56</v>
      </c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2"/>
      <c r="AG473" s="69" t="s">
        <v>57</v>
      </c>
      <c r="AH473" s="52"/>
      <c r="AI473" s="52"/>
      <c r="AJ473" s="52"/>
      <c r="AK473" s="52"/>
      <c r="AL473" s="52"/>
      <c r="AM473" s="52"/>
      <c r="AN473" s="52"/>
      <c r="AO473" s="52"/>
      <c r="AP473" s="52"/>
      <c r="AQ473" s="66"/>
      <c r="AU473" s="46"/>
      <c r="AV473" s="46"/>
      <c r="AW473" s="46"/>
    </row>
    <row r="474" spans="2:49" ht="13.5" hidden="1" customHeight="1" thickBot="1" x14ac:dyDescent="0.25">
      <c r="B474" s="59"/>
      <c r="C474" s="59"/>
      <c r="D474" s="93" t="s">
        <v>58</v>
      </c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2"/>
      <c r="S474" s="93" t="s">
        <v>59</v>
      </c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2"/>
      <c r="AG474" s="94" t="s">
        <v>60</v>
      </c>
      <c r="AH474" s="95"/>
      <c r="AI474" s="95"/>
      <c r="AJ474" s="95"/>
      <c r="AK474" s="95"/>
      <c r="AL474" s="72"/>
      <c r="AM474" s="96" t="s">
        <v>61</v>
      </c>
      <c r="AN474" s="95"/>
      <c r="AO474" s="95"/>
      <c r="AP474" s="95"/>
      <c r="AQ474" s="72"/>
      <c r="AU474" s="46"/>
      <c r="AV474" s="46"/>
      <c r="AW474" s="46"/>
    </row>
    <row r="475" spans="2:49" ht="17.25" hidden="1" customHeight="1" thickBot="1" x14ac:dyDescent="0.25">
      <c r="B475" s="57"/>
      <c r="C475" s="57"/>
      <c r="D475" s="93" t="s">
        <v>62</v>
      </c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2"/>
      <c r="S475" s="93" t="s">
        <v>6</v>
      </c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2"/>
      <c r="AG475" s="97" t="s">
        <v>63</v>
      </c>
      <c r="AH475" s="58"/>
      <c r="AI475" s="58"/>
      <c r="AJ475" s="58"/>
      <c r="AK475" s="58"/>
      <c r="AL475" s="72"/>
      <c r="AM475" s="98" t="s">
        <v>64</v>
      </c>
      <c r="AN475" s="58"/>
      <c r="AO475" s="58"/>
      <c r="AP475" s="58"/>
      <c r="AQ475" s="72"/>
      <c r="AU475" s="46"/>
      <c r="AV475" s="46"/>
      <c r="AW475" s="46"/>
    </row>
    <row r="476" spans="2:49" hidden="1" x14ac:dyDescent="0.2">
      <c r="AU476" s="46"/>
      <c r="AV476" s="46"/>
      <c r="AW476" s="46"/>
    </row>
    <row r="477" spans="2:49" ht="15.75" hidden="1" customHeight="1" thickBot="1" x14ac:dyDescent="0.25">
      <c r="AA477" s="52"/>
      <c r="AB477" s="52"/>
      <c r="AC477" s="52"/>
      <c r="AD477" s="52"/>
      <c r="AE477" s="52"/>
      <c r="AF477" s="52"/>
      <c r="AG477" s="52"/>
      <c r="AH477" s="52"/>
      <c r="AU477" s="46"/>
      <c r="AV477" s="46"/>
      <c r="AW477" s="46"/>
    </row>
    <row r="478" spans="2:49" ht="17.25" hidden="1" customHeight="1" x14ac:dyDescent="0.25">
      <c r="B478" s="53"/>
      <c r="C478" s="53"/>
      <c r="D478" s="54" t="s">
        <v>29</v>
      </c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6" t="s">
        <v>73</v>
      </c>
      <c r="Z478" s="55"/>
      <c r="AA478" s="55"/>
      <c r="AB478" s="55"/>
      <c r="AC478" s="55"/>
      <c r="AD478" s="55"/>
      <c r="AE478" s="55"/>
      <c r="AF478" s="55"/>
      <c r="AG478" s="55"/>
      <c r="AH478" s="433" t="s">
        <v>30</v>
      </c>
      <c r="AI478" s="434"/>
      <c r="AJ478" s="434"/>
      <c r="AK478" s="434"/>
      <c r="AL478" s="434"/>
      <c r="AM478" s="435" t="str">
        <f>IF(($AU$9+14)&gt;$AX$9,"",VLOOKUP($AU$9+14,Spielplan,3,0))</f>
        <v/>
      </c>
      <c r="AN478" s="435"/>
      <c r="AO478" s="435"/>
      <c r="AP478" s="435"/>
      <c r="AQ478" s="436"/>
      <c r="AU478" s="46"/>
      <c r="AV478" s="46"/>
      <c r="AW478" s="46"/>
    </row>
    <row r="479" spans="2:49" ht="0.75" hidden="1" customHeight="1" thickBot="1" x14ac:dyDescent="0.25">
      <c r="B479" s="57"/>
      <c r="C479" s="57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9"/>
      <c r="AI479" s="52"/>
      <c r="AJ479" s="52"/>
      <c r="AK479" s="52"/>
      <c r="AL479" s="52"/>
      <c r="AM479" s="60"/>
      <c r="AN479" s="60"/>
      <c r="AO479" s="60"/>
      <c r="AP479" s="60"/>
      <c r="AQ479" s="61"/>
      <c r="AU479" s="46"/>
      <c r="AV479" s="46"/>
      <c r="AW479" s="46"/>
    </row>
    <row r="480" spans="2:49" ht="15" hidden="1" x14ac:dyDescent="0.25">
      <c r="B480" s="53"/>
      <c r="C480" s="62"/>
      <c r="D480" s="53"/>
      <c r="E480" s="63" t="s">
        <v>6</v>
      </c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64"/>
      <c r="S480" s="437" t="s">
        <v>31</v>
      </c>
      <c r="T480" s="438"/>
      <c r="U480" s="438"/>
      <c r="V480" s="438"/>
      <c r="W480" s="438"/>
      <c r="X480" s="438"/>
      <c r="Y480" s="362" t="str">
        <f>IF(($AU$9+14)&gt;$AX$9,"","SHTV")</f>
        <v/>
      </c>
      <c r="Z480" s="362"/>
      <c r="AA480" s="362"/>
      <c r="AB480" s="362"/>
      <c r="AC480" s="362"/>
      <c r="AD480" s="362"/>
      <c r="AE480" s="362"/>
      <c r="AF480" s="362"/>
      <c r="AG480" s="362"/>
      <c r="AH480" s="416" t="s">
        <v>32</v>
      </c>
      <c r="AI480" s="417"/>
      <c r="AJ480" s="417"/>
      <c r="AK480" s="417"/>
      <c r="AL480" s="417"/>
      <c r="AM480" s="420" t="str">
        <f>IF(($AU$9+14)&gt;$AX$9,"",VLOOKUP($AU$9+14,Spielplan,4,0))</f>
        <v/>
      </c>
      <c r="AN480" s="421"/>
      <c r="AO480" s="421"/>
      <c r="AP480" s="421"/>
      <c r="AQ480" s="422"/>
      <c r="AU480" s="46"/>
      <c r="AV480" s="46"/>
      <c r="AW480" s="46"/>
    </row>
    <row r="481" spans="2:49" ht="9.9499999999999993" hidden="1" customHeight="1" x14ac:dyDescent="0.2">
      <c r="B481" s="59"/>
      <c r="C481" s="65"/>
      <c r="D481" s="59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66"/>
      <c r="S481" s="400"/>
      <c r="T481" s="399"/>
      <c r="U481" s="399"/>
      <c r="V481" s="399"/>
      <c r="W481" s="399"/>
      <c r="X481" s="399"/>
      <c r="Y481" s="402"/>
      <c r="Z481" s="402"/>
      <c r="AA481" s="402"/>
      <c r="AB481" s="402"/>
      <c r="AC481" s="402"/>
      <c r="AD481" s="402"/>
      <c r="AE481" s="402"/>
      <c r="AF481" s="402"/>
      <c r="AG481" s="402"/>
      <c r="AH481" s="418"/>
      <c r="AI481" s="419"/>
      <c r="AJ481" s="419"/>
      <c r="AK481" s="419"/>
      <c r="AL481" s="419"/>
      <c r="AM481" s="423"/>
      <c r="AN481" s="423"/>
      <c r="AO481" s="423"/>
      <c r="AP481" s="423"/>
      <c r="AQ481" s="424"/>
      <c r="AU481" s="46"/>
      <c r="AV481" s="46"/>
      <c r="AW481" s="46"/>
    </row>
    <row r="482" spans="2:49" ht="13.15" hidden="1" customHeight="1" x14ac:dyDescent="0.2">
      <c r="B482" s="59"/>
      <c r="C482" s="65"/>
      <c r="D482" s="59"/>
      <c r="E482" s="52" t="s">
        <v>33</v>
      </c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66"/>
      <c r="S482" s="398" t="s">
        <v>34</v>
      </c>
      <c r="T482" s="399"/>
      <c r="U482" s="399"/>
      <c r="V482" s="399"/>
      <c r="W482" s="399"/>
      <c r="X482" s="399"/>
      <c r="Y482" s="402" t="str">
        <f>IF(($AU$9+14)&gt;$AX$9,"",Platzierung!$U$3)</f>
        <v/>
      </c>
      <c r="Z482" s="402"/>
      <c r="AA482" s="402"/>
      <c r="AB482" s="402"/>
      <c r="AC482" s="402"/>
      <c r="AD482" s="402"/>
      <c r="AE482" s="402"/>
      <c r="AF482" s="402"/>
      <c r="AG482" s="402"/>
      <c r="AH482" s="416" t="s">
        <v>35</v>
      </c>
      <c r="AI482" s="417"/>
      <c r="AJ482" s="417"/>
      <c r="AK482" s="417"/>
      <c r="AL482" s="417"/>
      <c r="AM482" s="420" t="str">
        <f>IF(($AU$9+14)&gt;$AX$9,"",VLOOKUP($AU$9+14,Spielplan,6,0))</f>
        <v/>
      </c>
      <c r="AN482" s="421"/>
      <c r="AO482" s="421"/>
      <c r="AP482" s="421"/>
      <c r="AQ482" s="422"/>
      <c r="AU482" s="46"/>
      <c r="AV482" s="46"/>
      <c r="AW482" s="46"/>
    </row>
    <row r="483" spans="2:49" ht="9.9499999999999993" hidden="1" customHeight="1" x14ac:dyDescent="0.2">
      <c r="B483" s="59"/>
      <c r="C483" s="65"/>
      <c r="D483" s="59"/>
      <c r="E483" s="52"/>
      <c r="F483" s="52"/>
      <c r="G483" s="52"/>
      <c r="H483" s="52"/>
      <c r="I483" s="52"/>
      <c r="J483" s="67" t="s">
        <v>36</v>
      </c>
      <c r="K483" s="52"/>
      <c r="L483" s="52"/>
      <c r="M483" s="52"/>
      <c r="N483" s="52"/>
      <c r="O483" s="52"/>
      <c r="P483" s="52"/>
      <c r="Q483" s="52"/>
      <c r="R483" s="66"/>
      <c r="S483" s="400"/>
      <c r="T483" s="399"/>
      <c r="U483" s="399"/>
      <c r="V483" s="399"/>
      <c r="W483" s="399"/>
      <c r="X483" s="399"/>
      <c r="Y483" s="402"/>
      <c r="Z483" s="402"/>
      <c r="AA483" s="402"/>
      <c r="AB483" s="402"/>
      <c r="AC483" s="402"/>
      <c r="AD483" s="402"/>
      <c r="AE483" s="402"/>
      <c r="AF483" s="402"/>
      <c r="AG483" s="402"/>
      <c r="AH483" s="418"/>
      <c r="AI483" s="419"/>
      <c r="AJ483" s="419"/>
      <c r="AK483" s="419"/>
      <c r="AL483" s="419"/>
      <c r="AM483" s="423"/>
      <c r="AN483" s="423"/>
      <c r="AO483" s="423"/>
      <c r="AP483" s="423"/>
      <c r="AQ483" s="424"/>
      <c r="AU483" s="46"/>
      <c r="AV483" s="46"/>
      <c r="AW483" s="46"/>
    </row>
    <row r="484" spans="2:49" ht="15.75" hidden="1" customHeight="1" x14ac:dyDescent="0.2">
      <c r="B484" s="59"/>
      <c r="C484" s="65"/>
      <c r="D484" s="394" t="str">
        <f>IF(($AU$9+14)&gt;$AX$9,"",VLOOKUP($AU$9+14,Spielplan,10,0))</f>
        <v/>
      </c>
      <c r="E484" s="395"/>
      <c r="F484" s="395"/>
      <c r="G484" s="395"/>
      <c r="H484" s="395"/>
      <c r="I484" s="395"/>
      <c r="J484" s="395"/>
      <c r="K484" s="395"/>
      <c r="L484" s="395"/>
      <c r="M484" s="395"/>
      <c r="N484" s="395"/>
      <c r="O484" s="395"/>
      <c r="P484" s="395"/>
      <c r="Q484" s="395"/>
      <c r="R484" s="396"/>
      <c r="S484" s="398" t="s">
        <v>37</v>
      </c>
      <c r="T484" s="399"/>
      <c r="U484" s="399"/>
      <c r="V484" s="399"/>
      <c r="W484" s="399"/>
      <c r="X484" s="399"/>
      <c r="Y484" s="401" t="str">
        <f>IF(($AU$9+14)&gt;$AX$9,"",VLOOKUP($AU$9+14,Spielplan,2,0))</f>
        <v/>
      </c>
      <c r="Z484" s="402"/>
      <c r="AA484" s="402"/>
      <c r="AB484" s="402"/>
      <c r="AC484" s="402"/>
      <c r="AD484" s="402"/>
      <c r="AE484" s="402"/>
      <c r="AF484" s="402"/>
      <c r="AG484" s="402"/>
      <c r="AH484" s="403" t="s">
        <v>38</v>
      </c>
      <c r="AI484" s="399"/>
      <c r="AJ484" s="399"/>
      <c r="AK484" s="399"/>
      <c r="AL484" s="399"/>
      <c r="AM484" s="425" t="str">
        <f>IF(($AU$9+14)&gt;$AX$9,"",VLOOKUP($AU$9+14,Spielplan,5,0))</f>
        <v/>
      </c>
      <c r="AN484" s="426"/>
      <c r="AO484" s="426"/>
      <c r="AP484" s="426"/>
      <c r="AQ484" s="427"/>
      <c r="AU484" s="46"/>
      <c r="AV484" s="46"/>
      <c r="AW484" s="46"/>
    </row>
    <row r="485" spans="2:49" ht="11.1" hidden="1" customHeight="1" thickBot="1" x14ac:dyDescent="0.25">
      <c r="B485" s="59"/>
      <c r="C485" s="65"/>
      <c r="D485" s="397"/>
      <c r="E485" s="395"/>
      <c r="F485" s="395"/>
      <c r="G485" s="395"/>
      <c r="H485" s="395"/>
      <c r="I485" s="395"/>
      <c r="J485" s="395"/>
      <c r="K485" s="395"/>
      <c r="L485" s="395"/>
      <c r="M485" s="395"/>
      <c r="N485" s="395"/>
      <c r="O485" s="395"/>
      <c r="P485" s="395"/>
      <c r="Q485" s="395"/>
      <c r="R485" s="396"/>
      <c r="S485" s="400"/>
      <c r="T485" s="399"/>
      <c r="U485" s="399"/>
      <c r="V485" s="399"/>
      <c r="W485" s="399"/>
      <c r="X485" s="399"/>
      <c r="Y485" s="402"/>
      <c r="Z485" s="402"/>
      <c r="AA485" s="402"/>
      <c r="AB485" s="402"/>
      <c r="AC485" s="402"/>
      <c r="AD485" s="402"/>
      <c r="AE485" s="402"/>
      <c r="AF485" s="402"/>
      <c r="AG485" s="402"/>
      <c r="AH485" s="404"/>
      <c r="AI485" s="405"/>
      <c r="AJ485" s="405"/>
      <c r="AK485" s="405"/>
      <c r="AL485" s="405"/>
      <c r="AM485" s="428"/>
      <c r="AN485" s="428"/>
      <c r="AO485" s="428"/>
      <c r="AP485" s="428"/>
      <c r="AQ485" s="429"/>
      <c r="AU485" s="46"/>
      <c r="AV485" s="46"/>
      <c r="AW485" s="46"/>
    </row>
    <row r="486" spans="2:49" ht="11.1" hidden="1" customHeight="1" thickBot="1" x14ac:dyDescent="0.25">
      <c r="B486" s="59"/>
      <c r="C486" s="65"/>
      <c r="D486" s="57"/>
      <c r="E486" s="58"/>
      <c r="F486" s="58"/>
      <c r="G486" s="58"/>
      <c r="H486" s="58"/>
      <c r="I486" s="58"/>
      <c r="J486" s="58" t="s">
        <v>39</v>
      </c>
      <c r="K486" s="58"/>
      <c r="L486" s="58"/>
      <c r="M486" s="58"/>
      <c r="N486" s="58"/>
      <c r="O486" s="52"/>
      <c r="P486" s="52"/>
      <c r="Q486" s="58"/>
      <c r="R486" s="68"/>
      <c r="S486" s="59"/>
      <c r="T486" s="52"/>
      <c r="U486" s="52"/>
      <c r="V486" s="52"/>
      <c r="W486" s="52"/>
      <c r="X486" s="52"/>
      <c r="Y486" s="430"/>
      <c r="Z486" s="430"/>
      <c r="AA486" s="430"/>
      <c r="AB486" s="430"/>
      <c r="AC486" s="430"/>
      <c r="AD486" s="430"/>
      <c r="AE486" s="430"/>
      <c r="AF486" s="431"/>
      <c r="AG486" s="432"/>
      <c r="AH486" s="69" t="s">
        <v>40</v>
      </c>
      <c r="AI486" s="52"/>
      <c r="AJ486" s="52"/>
      <c r="AK486" s="52"/>
      <c r="AL486" s="52"/>
      <c r="AM486" s="52"/>
      <c r="AN486" s="52"/>
      <c r="AO486" s="70"/>
      <c r="AP486" s="52"/>
      <c r="AQ486" s="66"/>
      <c r="AU486" s="46"/>
      <c r="AV486" s="46"/>
      <c r="AW486" s="46"/>
    </row>
    <row r="487" spans="2:49" ht="13.5" hidden="1" customHeight="1" thickBot="1" x14ac:dyDescent="0.3">
      <c r="B487" s="59"/>
      <c r="C487" s="65"/>
      <c r="D487" s="53"/>
      <c r="E487" s="63" t="s">
        <v>8</v>
      </c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388" t="s">
        <v>41</v>
      </c>
      <c r="R487" s="53"/>
      <c r="S487" s="53"/>
      <c r="T487" s="63" t="s">
        <v>7</v>
      </c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64"/>
      <c r="AF487" s="391" t="s">
        <v>41</v>
      </c>
      <c r="AG487" s="59"/>
      <c r="AH487" s="71" t="s">
        <v>42</v>
      </c>
      <c r="AI487" s="58"/>
      <c r="AJ487" s="58"/>
      <c r="AK487" s="58"/>
      <c r="AL487" s="58"/>
      <c r="AM487" s="58"/>
      <c r="AN487" s="58"/>
      <c r="AO487" s="72"/>
      <c r="AP487" s="52"/>
      <c r="AQ487" s="66"/>
      <c r="AU487" s="46"/>
      <c r="AV487" s="46"/>
      <c r="AW487" s="46"/>
    </row>
    <row r="488" spans="2:49" ht="12" hidden="1" customHeight="1" thickBot="1" x14ac:dyDescent="0.25">
      <c r="B488" s="59"/>
      <c r="C488" s="65"/>
      <c r="D488" s="394" t="str">
        <f>IF(($AU$9+14)&gt;$AX$9,"",VLOOKUP($AU$9+14,Spielplan,7,0))</f>
        <v/>
      </c>
      <c r="E488" s="395"/>
      <c r="F488" s="395"/>
      <c r="G488" s="395"/>
      <c r="H488" s="395"/>
      <c r="I488" s="395"/>
      <c r="J488" s="395"/>
      <c r="K488" s="395"/>
      <c r="L488" s="395"/>
      <c r="M488" s="395"/>
      <c r="N488" s="395"/>
      <c r="O488" s="395"/>
      <c r="P488" s="396"/>
      <c r="Q488" s="389"/>
      <c r="R488" s="59"/>
      <c r="S488" s="394" t="str">
        <f>IF(($AU$9+14)&gt;$AX$9,"",VLOOKUP($AU$9+14,Spielplan,9,0))</f>
        <v/>
      </c>
      <c r="T488" s="395"/>
      <c r="U488" s="395"/>
      <c r="V488" s="395"/>
      <c r="W488" s="395"/>
      <c r="X488" s="395"/>
      <c r="Y488" s="395"/>
      <c r="Z488" s="395"/>
      <c r="AA488" s="395"/>
      <c r="AB488" s="395"/>
      <c r="AC488" s="395"/>
      <c r="AD488" s="395"/>
      <c r="AE488" s="409"/>
      <c r="AF488" s="392"/>
      <c r="AG488" s="59"/>
      <c r="AH488" s="410" t="s">
        <v>43</v>
      </c>
      <c r="AI488" s="411"/>
      <c r="AJ488" s="411"/>
      <c r="AK488" s="411"/>
      <c r="AL488" s="411"/>
      <c r="AM488" s="412"/>
      <c r="AN488" s="73" t="s">
        <v>44</v>
      </c>
      <c r="AO488" s="74"/>
      <c r="AP488" s="74"/>
      <c r="AQ488" s="72"/>
      <c r="AU488" s="46"/>
      <c r="AV488" s="46"/>
      <c r="AW488" s="46"/>
    </row>
    <row r="489" spans="2:49" ht="12" hidden="1" customHeight="1" thickBot="1" x14ac:dyDescent="0.25">
      <c r="B489" s="57"/>
      <c r="C489" s="70"/>
      <c r="D489" s="406"/>
      <c r="E489" s="407"/>
      <c r="F489" s="407"/>
      <c r="G489" s="407"/>
      <c r="H489" s="407"/>
      <c r="I489" s="407"/>
      <c r="J489" s="407"/>
      <c r="K489" s="407"/>
      <c r="L489" s="407"/>
      <c r="M489" s="407"/>
      <c r="N489" s="407"/>
      <c r="O489" s="407"/>
      <c r="P489" s="408"/>
      <c r="Q489" s="390"/>
      <c r="R489" s="57"/>
      <c r="S489" s="406"/>
      <c r="T489" s="407"/>
      <c r="U489" s="407"/>
      <c r="V489" s="407"/>
      <c r="W489" s="407"/>
      <c r="X489" s="407"/>
      <c r="Y489" s="407"/>
      <c r="Z489" s="407"/>
      <c r="AA489" s="407"/>
      <c r="AB489" s="407"/>
      <c r="AC489" s="407"/>
      <c r="AD489" s="407"/>
      <c r="AE489" s="385"/>
      <c r="AF489" s="393"/>
      <c r="AG489" s="57"/>
      <c r="AH489" s="413"/>
      <c r="AI489" s="414"/>
      <c r="AJ489" s="414"/>
      <c r="AK489" s="414"/>
      <c r="AL489" s="414"/>
      <c r="AM489" s="415"/>
      <c r="AN489" s="73" t="s">
        <v>45</v>
      </c>
      <c r="AO489" s="74"/>
      <c r="AP489" s="74"/>
      <c r="AQ489" s="72"/>
      <c r="AU489" s="46"/>
      <c r="AV489" s="46"/>
      <c r="AW489" s="46"/>
    </row>
    <row r="490" spans="2:49" ht="9.9499999999999993" hidden="1" customHeight="1" thickBot="1" x14ac:dyDescent="0.25">
      <c r="B490" s="59"/>
      <c r="C490" s="59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66"/>
      <c r="AU490" s="46"/>
      <c r="AV490" s="46"/>
      <c r="AW490" s="46"/>
    </row>
    <row r="491" spans="2:49" hidden="1" x14ac:dyDescent="0.2">
      <c r="B491" s="53"/>
      <c r="C491" s="62" t="s">
        <v>44</v>
      </c>
      <c r="D491" s="75"/>
      <c r="E491" s="76"/>
      <c r="F491" s="76"/>
      <c r="G491" s="76"/>
      <c r="H491" s="77"/>
      <c r="I491" s="75"/>
      <c r="J491" s="76"/>
      <c r="K491" s="76"/>
      <c r="L491" s="76"/>
      <c r="M491" s="77"/>
      <c r="N491" s="75"/>
      <c r="O491" s="76"/>
      <c r="P491" s="76"/>
      <c r="Q491" s="76"/>
      <c r="R491" s="77"/>
      <c r="S491" s="75"/>
      <c r="T491" s="76"/>
      <c r="U491" s="76"/>
      <c r="V491" s="76"/>
      <c r="W491" s="77"/>
      <c r="X491" s="75"/>
      <c r="Y491" s="76"/>
      <c r="Z491" s="76"/>
      <c r="AA491" s="76"/>
      <c r="AB491" s="77"/>
      <c r="AC491" s="75"/>
      <c r="AD491" s="76"/>
      <c r="AE491" s="76"/>
      <c r="AF491" s="76"/>
      <c r="AG491" s="77"/>
      <c r="AH491" s="75"/>
      <c r="AI491" s="76"/>
      <c r="AJ491" s="76"/>
      <c r="AK491" s="76"/>
      <c r="AL491" s="76"/>
      <c r="AM491" s="188" t="s">
        <v>44</v>
      </c>
      <c r="AN491" s="386"/>
      <c r="AO491" s="386"/>
      <c r="AP491" s="386"/>
      <c r="AQ491" s="387"/>
      <c r="AU491" s="46"/>
      <c r="AV491" s="46"/>
      <c r="AW491" s="46"/>
    </row>
    <row r="492" spans="2:49" ht="13.5" hidden="1" thickBot="1" x14ac:dyDescent="0.25">
      <c r="B492" s="57"/>
      <c r="C492" s="70" t="s">
        <v>45</v>
      </c>
      <c r="D492" s="57"/>
      <c r="E492" s="78"/>
      <c r="F492" s="78"/>
      <c r="G492" s="78"/>
      <c r="H492" s="79"/>
      <c r="I492" s="57"/>
      <c r="J492" s="78"/>
      <c r="K492" s="78"/>
      <c r="L492" s="78"/>
      <c r="M492" s="79"/>
      <c r="N492" s="57"/>
      <c r="O492" s="78"/>
      <c r="P492" s="78"/>
      <c r="Q492" s="78"/>
      <c r="R492" s="79"/>
      <c r="S492" s="57"/>
      <c r="T492" s="78"/>
      <c r="U492" s="78"/>
      <c r="V492" s="78"/>
      <c r="W492" s="79"/>
      <c r="X492" s="57"/>
      <c r="Y492" s="78"/>
      <c r="Z492" s="78"/>
      <c r="AA492" s="78"/>
      <c r="AB492" s="79"/>
      <c r="AC492" s="57"/>
      <c r="AD492" s="78"/>
      <c r="AE492" s="78"/>
      <c r="AF492" s="78"/>
      <c r="AG492" s="79"/>
      <c r="AH492" s="57"/>
      <c r="AI492" s="78"/>
      <c r="AJ492" s="78"/>
      <c r="AK492" s="78"/>
      <c r="AL492" s="78"/>
      <c r="AM492" s="190" t="s">
        <v>45</v>
      </c>
      <c r="AN492" s="323"/>
      <c r="AO492" s="323"/>
      <c r="AP492" s="323"/>
      <c r="AQ492" s="324"/>
      <c r="AU492" s="46"/>
      <c r="AV492" s="46"/>
      <c r="AW492" s="46"/>
    </row>
    <row r="493" spans="2:49" hidden="1" x14ac:dyDescent="0.2">
      <c r="B493" s="53"/>
      <c r="C493" s="62" t="s">
        <v>44</v>
      </c>
      <c r="D493" s="75"/>
      <c r="E493" s="76"/>
      <c r="F493" s="76"/>
      <c r="G493" s="76"/>
      <c r="H493" s="77"/>
      <c r="I493" s="75"/>
      <c r="J493" s="76"/>
      <c r="K493" s="76"/>
      <c r="L493" s="76"/>
      <c r="M493" s="77"/>
      <c r="N493" s="75"/>
      <c r="O493" s="76"/>
      <c r="P493" s="76"/>
      <c r="Q493" s="76"/>
      <c r="R493" s="77"/>
      <c r="S493" s="75"/>
      <c r="T493" s="76"/>
      <c r="U493" s="76"/>
      <c r="V493" s="76"/>
      <c r="W493" s="77"/>
      <c r="X493" s="75"/>
      <c r="Y493" s="76"/>
      <c r="Z493" s="76"/>
      <c r="AA493" s="76"/>
      <c r="AB493" s="77"/>
      <c r="AC493" s="75"/>
      <c r="AD493" s="76"/>
      <c r="AE493" s="76"/>
      <c r="AF493" s="76"/>
      <c r="AG493" s="77"/>
      <c r="AH493" s="75"/>
      <c r="AI493" s="76"/>
      <c r="AJ493" s="76"/>
      <c r="AK493" s="76"/>
      <c r="AL493" s="76"/>
      <c r="AM493" s="188" t="s">
        <v>44</v>
      </c>
      <c r="AN493" s="386"/>
      <c r="AO493" s="386"/>
      <c r="AP493" s="386"/>
      <c r="AQ493" s="387"/>
      <c r="AU493" s="46"/>
      <c r="AV493" s="46"/>
      <c r="AW493" s="46"/>
    </row>
    <row r="494" spans="2:49" ht="13.5" hidden="1" thickBot="1" x14ac:dyDescent="0.25">
      <c r="B494" s="57"/>
      <c r="C494" s="70" t="s">
        <v>45</v>
      </c>
      <c r="D494" s="57"/>
      <c r="E494" s="78"/>
      <c r="F494" s="78"/>
      <c r="G494" s="78"/>
      <c r="H494" s="79"/>
      <c r="I494" s="57"/>
      <c r="J494" s="78"/>
      <c r="K494" s="78"/>
      <c r="L494" s="78"/>
      <c r="M494" s="79"/>
      <c r="N494" s="57"/>
      <c r="O494" s="78"/>
      <c r="P494" s="78"/>
      <c r="Q494" s="78"/>
      <c r="R494" s="79"/>
      <c r="S494" s="57"/>
      <c r="T494" s="78"/>
      <c r="U494" s="78"/>
      <c r="V494" s="78"/>
      <c r="W494" s="79"/>
      <c r="X494" s="57"/>
      <c r="Y494" s="78"/>
      <c r="Z494" s="78"/>
      <c r="AA494" s="78"/>
      <c r="AB494" s="79"/>
      <c r="AC494" s="57"/>
      <c r="AD494" s="78"/>
      <c r="AE494" s="78"/>
      <c r="AF494" s="78"/>
      <c r="AG494" s="79"/>
      <c r="AH494" s="57"/>
      <c r="AI494" s="78"/>
      <c r="AJ494" s="78"/>
      <c r="AK494" s="78"/>
      <c r="AL494" s="78"/>
      <c r="AM494" s="189" t="s">
        <v>45</v>
      </c>
      <c r="AN494" s="338"/>
      <c r="AO494" s="338"/>
      <c r="AP494" s="338"/>
      <c r="AQ494" s="339"/>
      <c r="AU494" s="46"/>
      <c r="AV494" s="46"/>
      <c r="AW494" s="46"/>
    </row>
    <row r="495" spans="2:49" hidden="1" x14ac:dyDescent="0.2">
      <c r="B495" s="53"/>
      <c r="C495" s="62" t="s">
        <v>44</v>
      </c>
      <c r="D495" s="75"/>
      <c r="E495" s="76"/>
      <c r="F495" s="76"/>
      <c r="G495" s="76"/>
      <c r="H495" s="77"/>
      <c r="I495" s="75"/>
      <c r="J495" s="76"/>
      <c r="K495" s="76"/>
      <c r="L495" s="76"/>
      <c r="M495" s="77"/>
      <c r="N495" s="75"/>
      <c r="O495" s="76"/>
      <c r="P495" s="76"/>
      <c r="Q495" s="76"/>
      <c r="R495" s="77"/>
      <c r="S495" s="75"/>
      <c r="T495" s="76"/>
      <c r="U495" s="76"/>
      <c r="V495" s="76"/>
      <c r="W495" s="77"/>
      <c r="X495" s="75"/>
      <c r="Y495" s="76"/>
      <c r="Z495" s="76"/>
      <c r="AA495" s="76"/>
      <c r="AB495" s="77"/>
      <c r="AC495" s="75"/>
      <c r="AD495" s="76"/>
      <c r="AE495" s="76"/>
      <c r="AF495" s="76"/>
      <c r="AG495" s="77"/>
      <c r="AH495" s="75"/>
      <c r="AI495" s="76"/>
      <c r="AJ495" s="76"/>
      <c r="AK495" s="76"/>
      <c r="AL495" s="76"/>
      <c r="AM495" s="188" t="s">
        <v>44</v>
      </c>
      <c r="AN495" s="386"/>
      <c r="AO495" s="386"/>
      <c r="AP495" s="386"/>
      <c r="AQ495" s="387"/>
      <c r="AU495" s="46"/>
      <c r="AV495" s="46"/>
      <c r="AW495" s="46"/>
    </row>
    <row r="496" spans="2:49" ht="13.5" hidden="1" thickBot="1" x14ac:dyDescent="0.25">
      <c r="B496" s="57"/>
      <c r="C496" s="70" t="s">
        <v>45</v>
      </c>
      <c r="D496" s="57"/>
      <c r="E496" s="78"/>
      <c r="F496" s="78"/>
      <c r="G496" s="78"/>
      <c r="H496" s="79"/>
      <c r="I496" s="57"/>
      <c r="J496" s="78"/>
      <c r="K496" s="78"/>
      <c r="L496" s="78"/>
      <c r="M496" s="79"/>
      <c r="N496" s="57"/>
      <c r="O496" s="78"/>
      <c r="P496" s="78"/>
      <c r="Q496" s="78"/>
      <c r="R496" s="79"/>
      <c r="S496" s="57"/>
      <c r="T496" s="78"/>
      <c r="U496" s="78"/>
      <c r="V496" s="78"/>
      <c r="W496" s="79"/>
      <c r="X496" s="57"/>
      <c r="Y496" s="78"/>
      <c r="Z496" s="78"/>
      <c r="AA496" s="78"/>
      <c r="AB496" s="79"/>
      <c r="AC496" s="57"/>
      <c r="AD496" s="78"/>
      <c r="AE496" s="78"/>
      <c r="AF496" s="78"/>
      <c r="AG496" s="79"/>
      <c r="AH496" s="57"/>
      <c r="AI496" s="78"/>
      <c r="AJ496" s="78"/>
      <c r="AK496" s="78"/>
      <c r="AL496" s="78"/>
      <c r="AM496" s="189" t="s">
        <v>45</v>
      </c>
      <c r="AN496" s="338"/>
      <c r="AO496" s="338"/>
      <c r="AP496" s="338"/>
      <c r="AQ496" s="339"/>
      <c r="AU496" s="46"/>
      <c r="AV496" s="46"/>
      <c r="AW496" s="46"/>
    </row>
    <row r="497" spans="2:49" ht="9.9499999999999993" hidden="1" customHeight="1" x14ac:dyDescent="0.2">
      <c r="B497" s="59"/>
      <c r="C497" s="59"/>
      <c r="D497" s="374" t="s">
        <v>46</v>
      </c>
      <c r="E497" s="375"/>
      <c r="F497" s="376"/>
      <c r="G497" s="380" t="s">
        <v>47</v>
      </c>
      <c r="H497" s="381"/>
      <c r="I497" s="381"/>
      <c r="J497" s="381"/>
      <c r="K497" s="381"/>
      <c r="L497" s="381"/>
      <c r="M497" s="381"/>
      <c r="N497" s="381"/>
      <c r="O497" s="382"/>
      <c r="P497" s="359" t="s">
        <v>41</v>
      </c>
      <c r="Q497" s="359" t="s">
        <v>48</v>
      </c>
      <c r="R497" s="52"/>
      <c r="S497" s="374" t="s">
        <v>46</v>
      </c>
      <c r="T497" s="375"/>
      <c r="U497" s="376"/>
      <c r="V497" s="380" t="s">
        <v>47</v>
      </c>
      <c r="W497" s="381"/>
      <c r="X497" s="381"/>
      <c r="Y497" s="381"/>
      <c r="Z497" s="381"/>
      <c r="AA497" s="381"/>
      <c r="AB497" s="381"/>
      <c r="AC497" s="381"/>
      <c r="AD497" s="382"/>
      <c r="AE497" s="359" t="s">
        <v>41</v>
      </c>
      <c r="AF497" s="359" t="s">
        <v>48</v>
      </c>
      <c r="AG497" s="80"/>
      <c r="AH497" s="81"/>
      <c r="AI497" s="81"/>
      <c r="AJ497" s="81"/>
      <c r="AK497" s="81"/>
      <c r="AL497" s="81"/>
      <c r="AM497" s="99"/>
      <c r="AN497" s="373" t="s">
        <v>1</v>
      </c>
      <c r="AO497" s="373"/>
      <c r="AP497" s="373" t="s">
        <v>2</v>
      </c>
      <c r="AQ497" s="373"/>
      <c r="AR497" s="82"/>
      <c r="AU497" s="46"/>
      <c r="AV497" s="46"/>
      <c r="AW497" s="46"/>
    </row>
    <row r="498" spans="2:49" ht="13.5" hidden="1" thickBot="1" x14ac:dyDescent="0.25">
      <c r="B498" s="59"/>
      <c r="C498" s="59"/>
      <c r="D498" s="377"/>
      <c r="E498" s="378"/>
      <c r="F498" s="379"/>
      <c r="G498" s="383"/>
      <c r="H498" s="384"/>
      <c r="I498" s="384"/>
      <c r="J498" s="384"/>
      <c r="K498" s="384"/>
      <c r="L498" s="384"/>
      <c r="M498" s="384"/>
      <c r="N498" s="384"/>
      <c r="O498" s="385"/>
      <c r="P498" s="360"/>
      <c r="Q498" s="360"/>
      <c r="R498" s="52"/>
      <c r="S498" s="377"/>
      <c r="T498" s="378"/>
      <c r="U498" s="379"/>
      <c r="V498" s="383"/>
      <c r="W498" s="384"/>
      <c r="X498" s="384"/>
      <c r="Y498" s="384"/>
      <c r="Z498" s="384"/>
      <c r="AA498" s="384"/>
      <c r="AB498" s="384"/>
      <c r="AC498" s="384"/>
      <c r="AD498" s="385"/>
      <c r="AE498" s="360"/>
      <c r="AF498" s="360"/>
      <c r="AG498" s="83"/>
      <c r="AH498" s="52"/>
      <c r="AI498" s="84" t="s">
        <v>49</v>
      </c>
      <c r="AJ498" s="84"/>
      <c r="AK498" s="84"/>
      <c r="AL498" s="84"/>
      <c r="AM498" s="84"/>
      <c r="AN498" s="84"/>
      <c r="AO498" s="85"/>
      <c r="AP498" s="85"/>
      <c r="AQ498" s="86"/>
      <c r="AR498" s="82"/>
      <c r="AU498" s="46"/>
      <c r="AV498" s="46"/>
      <c r="AW498" s="46"/>
    </row>
    <row r="499" spans="2:49" ht="13.5" hidden="1" customHeight="1" x14ac:dyDescent="0.2">
      <c r="B499" s="59"/>
      <c r="C499" s="59"/>
      <c r="D499" s="198"/>
      <c r="E499" s="191"/>
      <c r="F499" s="192"/>
      <c r="G499" s="193" t="s">
        <v>50</v>
      </c>
      <c r="H499" s="194"/>
      <c r="I499" s="194"/>
      <c r="J499" s="194"/>
      <c r="K499" s="194"/>
      <c r="L499" s="194"/>
      <c r="M499" s="194"/>
      <c r="N499" s="194"/>
      <c r="O499" s="195"/>
      <c r="P499" s="196"/>
      <c r="Q499" s="196"/>
      <c r="R499" s="197"/>
      <c r="S499" s="198"/>
      <c r="T499" s="191"/>
      <c r="U499" s="192"/>
      <c r="V499" s="193" t="s">
        <v>50</v>
      </c>
      <c r="W499" s="194"/>
      <c r="X499" s="194"/>
      <c r="Y499" s="194"/>
      <c r="Z499" s="194"/>
      <c r="AA499" s="194"/>
      <c r="AB499" s="194"/>
      <c r="AC499" s="194"/>
      <c r="AD499" s="195"/>
      <c r="AE499" s="196"/>
      <c r="AF499" s="196"/>
      <c r="AG499" s="361" t="s">
        <v>68</v>
      </c>
      <c r="AH499" s="362"/>
      <c r="AI499" s="362"/>
      <c r="AJ499" s="363"/>
      <c r="AK499" s="367" t="s">
        <v>51</v>
      </c>
      <c r="AL499" s="368"/>
      <c r="AM499" s="368"/>
      <c r="AN499" s="368"/>
      <c r="AO499" s="368"/>
      <c r="AP499" s="368"/>
      <c r="AQ499" s="369"/>
      <c r="AU499" s="46"/>
      <c r="AV499" s="46"/>
      <c r="AW499" s="46"/>
    </row>
    <row r="500" spans="2:49" ht="13.5" hidden="1" customHeight="1" thickBot="1" x14ac:dyDescent="0.25">
      <c r="B500" s="59"/>
      <c r="C500" s="59"/>
      <c r="D500" s="198"/>
      <c r="E500" s="191"/>
      <c r="F500" s="192"/>
      <c r="G500" s="199">
        <v>2</v>
      </c>
      <c r="H500" s="191"/>
      <c r="I500" s="191"/>
      <c r="J500" s="191"/>
      <c r="K500" s="191"/>
      <c r="L500" s="191"/>
      <c r="M500" s="191"/>
      <c r="N500" s="191"/>
      <c r="O500" s="192"/>
      <c r="P500" s="196"/>
      <c r="Q500" s="196"/>
      <c r="R500" s="197"/>
      <c r="S500" s="198"/>
      <c r="T500" s="191"/>
      <c r="U500" s="192"/>
      <c r="V500" s="199">
        <v>2</v>
      </c>
      <c r="W500" s="191"/>
      <c r="X500" s="191"/>
      <c r="Y500" s="191"/>
      <c r="Z500" s="191"/>
      <c r="AA500" s="191"/>
      <c r="AB500" s="191"/>
      <c r="AC500" s="191"/>
      <c r="AD500" s="192"/>
      <c r="AE500" s="196"/>
      <c r="AF500" s="196"/>
      <c r="AG500" s="364"/>
      <c r="AH500" s="365"/>
      <c r="AI500" s="365"/>
      <c r="AJ500" s="366"/>
      <c r="AK500" s="370"/>
      <c r="AL500" s="371"/>
      <c r="AM500" s="371"/>
      <c r="AN500" s="371"/>
      <c r="AO500" s="371"/>
      <c r="AP500" s="371"/>
      <c r="AQ500" s="372"/>
      <c r="AU500" s="46"/>
      <c r="AV500" s="46"/>
      <c r="AW500" s="46"/>
    </row>
    <row r="501" spans="2:49" ht="13.5" hidden="1" customHeight="1" x14ac:dyDescent="0.2">
      <c r="B501" s="59"/>
      <c r="C501" s="59"/>
      <c r="D501" s="198"/>
      <c r="E501" s="191"/>
      <c r="F501" s="192"/>
      <c r="G501" s="199">
        <v>3</v>
      </c>
      <c r="H501" s="191"/>
      <c r="I501" s="191"/>
      <c r="J501" s="191"/>
      <c r="K501" s="191"/>
      <c r="L501" s="191"/>
      <c r="M501" s="191"/>
      <c r="N501" s="191"/>
      <c r="O501" s="192"/>
      <c r="P501" s="196"/>
      <c r="Q501" s="196"/>
      <c r="R501" s="197"/>
      <c r="S501" s="198"/>
      <c r="T501" s="191"/>
      <c r="U501" s="192"/>
      <c r="V501" s="199">
        <v>3</v>
      </c>
      <c r="W501" s="191"/>
      <c r="X501" s="191"/>
      <c r="Y501" s="191"/>
      <c r="Z501" s="191"/>
      <c r="AA501" s="191"/>
      <c r="AB501" s="191"/>
      <c r="AC501" s="191"/>
      <c r="AD501" s="192"/>
      <c r="AE501" s="196"/>
      <c r="AF501" s="196"/>
      <c r="AG501" s="361" t="s">
        <v>2</v>
      </c>
      <c r="AH501" s="362"/>
      <c r="AI501" s="362"/>
      <c r="AJ501" s="363"/>
      <c r="AK501" s="367" t="s">
        <v>51</v>
      </c>
      <c r="AL501" s="368"/>
      <c r="AM501" s="368"/>
      <c r="AN501" s="368"/>
      <c r="AO501" s="368"/>
      <c r="AP501" s="368"/>
      <c r="AQ501" s="369"/>
      <c r="AU501" s="46"/>
      <c r="AV501" s="46"/>
      <c r="AW501" s="46"/>
    </row>
    <row r="502" spans="2:49" ht="13.5" hidden="1" customHeight="1" thickBot="1" x14ac:dyDescent="0.25">
      <c r="B502" s="59"/>
      <c r="C502" s="59"/>
      <c r="D502" s="198"/>
      <c r="E502" s="191"/>
      <c r="F502" s="192"/>
      <c r="G502" s="199">
        <v>4</v>
      </c>
      <c r="H502" s="191"/>
      <c r="I502" s="191"/>
      <c r="J502" s="191"/>
      <c r="K502" s="191"/>
      <c r="L502" s="191"/>
      <c r="M502" s="191"/>
      <c r="N502" s="191"/>
      <c r="O502" s="192"/>
      <c r="P502" s="196"/>
      <c r="Q502" s="196"/>
      <c r="R502" s="197"/>
      <c r="S502" s="198"/>
      <c r="T502" s="191"/>
      <c r="U502" s="192"/>
      <c r="V502" s="199">
        <v>4</v>
      </c>
      <c r="W502" s="191"/>
      <c r="X502" s="191"/>
      <c r="Y502" s="191"/>
      <c r="Z502" s="191"/>
      <c r="AA502" s="191"/>
      <c r="AB502" s="191"/>
      <c r="AC502" s="191"/>
      <c r="AD502" s="192"/>
      <c r="AE502" s="196"/>
      <c r="AF502" s="196"/>
      <c r="AG502" s="364"/>
      <c r="AH502" s="365"/>
      <c r="AI502" s="365"/>
      <c r="AJ502" s="366"/>
      <c r="AK502" s="370"/>
      <c r="AL502" s="371"/>
      <c r="AM502" s="371"/>
      <c r="AN502" s="371"/>
      <c r="AO502" s="371"/>
      <c r="AP502" s="371"/>
      <c r="AQ502" s="372"/>
      <c r="AU502" s="46"/>
      <c r="AV502" s="46"/>
      <c r="AW502" s="46"/>
    </row>
    <row r="503" spans="2:49" ht="13.5" hidden="1" customHeight="1" x14ac:dyDescent="0.2">
      <c r="B503" s="59"/>
      <c r="C503" s="59"/>
      <c r="D503" s="198"/>
      <c r="E503" s="191"/>
      <c r="F503" s="192"/>
      <c r="G503" s="199">
        <v>5</v>
      </c>
      <c r="H503" s="191"/>
      <c r="I503" s="191"/>
      <c r="J503" s="191"/>
      <c r="K503" s="191"/>
      <c r="L503" s="191"/>
      <c r="M503" s="191"/>
      <c r="N503" s="191"/>
      <c r="O503" s="192"/>
      <c r="P503" s="196"/>
      <c r="Q503" s="196"/>
      <c r="R503" s="197"/>
      <c r="S503" s="198"/>
      <c r="T503" s="191"/>
      <c r="U503" s="192"/>
      <c r="V503" s="199">
        <v>5</v>
      </c>
      <c r="W503" s="191"/>
      <c r="X503" s="191"/>
      <c r="Y503" s="191"/>
      <c r="Z503" s="191"/>
      <c r="AA503" s="191"/>
      <c r="AB503" s="191"/>
      <c r="AC503" s="191"/>
      <c r="AD503" s="192"/>
      <c r="AE503" s="196"/>
      <c r="AF503" s="196"/>
      <c r="AG503" s="87" t="s">
        <v>52</v>
      </c>
      <c r="AH503" s="55"/>
      <c r="AI503" s="55"/>
      <c r="AJ503" s="55"/>
      <c r="AK503" s="55"/>
      <c r="AL503" s="55"/>
      <c r="AM503" s="55"/>
      <c r="AN503" s="55"/>
      <c r="AO503" s="55" t="s">
        <v>53</v>
      </c>
      <c r="AP503" s="55"/>
      <c r="AQ503" s="64"/>
      <c r="AU503" s="46"/>
      <c r="AV503" s="46"/>
      <c r="AW503" s="46"/>
    </row>
    <row r="504" spans="2:49" ht="13.5" hidden="1" customHeight="1" x14ac:dyDescent="0.2">
      <c r="B504" s="59"/>
      <c r="C504" s="59"/>
      <c r="D504" s="198"/>
      <c r="E504" s="191"/>
      <c r="F504" s="192"/>
      <c r="G504" s="199">
        <v>6</v>
      </c>
      <c r="H504" s="191"/>
      <c r="I504" s="191"/>
      <c r="J504" s="191"/>
      <c r="K504" s="191"/>
      <c r="L504" s="191"/>
      <c r="M504" s="191"/>
      <c r="N504" s="191"/>
      <c r="O504" s="192"/>
      <c r="P504" s="196"/>
      <c r="Q504" s="196"/>
      <c r="R504" s="197"/>
      <c r="S504" s="198"/>
      <c r="T504" s="191"/>
      <c r="U504" s="192"/>
      <c r="V504" s="199">
        <v>6</v>
      </c>
      <c r="W504" s="191"/>
      <c r="X504" s="191"/>
      <c r="Y504" s="191"/>
      <c r="Z504" s="191"/>
      <c r="AA504" s="191"/>
      <c r="AB504" s="191"/>
      <c r="AC504" s="191"/>
      <c r="AD504" s="192"/>
      <c r="AE504" s="196"/>
      <c r="AF504" s="196"/>
      <c r="AG504" s="88"/>
      <c r="AH504" s="52"/>
      <c r="AI504" s="52"/>
      <c r="AJ504" s="52"/>
      <c r="AK504" s="52"/>
      <c r="AL504" s="52"/>
      <c r="AM504" s="52"/>
      <c r="AN504" s="52"/>
      <c r="AO504" s="52"/>
      <c r="AP504" s="52"/>
      <c r="AQ504" s="66"/>
      <c r="AU504" s="46"/>
      <c r="AV504" s="46"/>
      <c r="AW504" s="46"/>
    </row>
    <row r="505" spans="2:49" ht="13.5" hidden="1" customHeight="1" thickBot="1" x14ac:dyDescent="0.25">
      <c r="B505" s="59"/>
      <c r="C505" s="59"/>
      <c r="D505" s="198"/>
      <c r="E505" s="191"/>
      <c r="F505" s="192"/>
      <c r="G505" s="199">
        <v>7</v>
      </c>
      <c r="H505" s="191"/>
      <c r="I505" s="191"/>
      <c r="J505" s="191"/>
      <c r="K505" s="191"/>
      <c r="L505" s="191"/>
      <c r="M505" s="191"/>
      <c r="N505" s="191"/>
      <c r="O505" s="192"/>
      <c r="P505" s="196"/>
      <c r="Q505" s="196"/>
      <c r="R505" s="197"/>
      <c r="S505" s="198"/>
      <c r="T505" s="191"/>
      <c r="U505" s="192"/>
      <c r="V505" s="199">
        <v>7</v>
      </c>
      <c r="W505" s="191"/>
      <c r="X505" s="191"/>
      <c r="Y505" s="191"/>
      <c r="Z505" s="191"/>
      <c r="AA505" s="191"/>
      <c r="AB505" s="191"/>
      <c r="AC505" s="191"/>
      <c r="AD505" s="192"/>
      <c r="AE505" s="196"/>
      <c r="AF505" s="196"/>
      <c r="AG505" s="59" t="s">
        <v>54</v>
      </c>
      <c r="AH505" s="52"/>
      <c r="AI505" s="52"/>
      <c r="AJ505" s="52"/>
      <c r="AK505" s="52"/>
      <c r="AL505" s="52"/>
      <c r="AM505" s="52"/>
      <c r="AN505" s="52"/>
      <c r="AO505" s="52"/>
      <c r="AP505" s="52"/>
      <c r="AQ505" s="66"/>
      <c r="AU505" s="46"/>
      <c r="AV505" s="46"/>
      <c r="AW505" s="46"/>
    </row>
    <row r="506" spans="2:49" ht="13.5" hidden="1" customHeight="1" thickBot="1" x14ac:dyDescent="0.25">
      <c r="B506" s="59"/>
      <c r="C506" s="59"/>
      <c r="D506" s="204"/>
      <c r="E506" s="200"/>
      <c r="F506" s="201"/>
      <c r="G506" s="202">
        <v>8</v>
      </c>
      <c r="H506" s="200"/>
      <c r="I506" s="200"/>
      <c r="J506" s="200"/>
      <c r="K506" s="200"/>
      <c r="L506" s="200"/>
      <c r="M506" s="200"/>
      <c r="N506" s="200"/>
      <c r="O506" s="201"/>
      <c r="P506" s="203"/>
      <c r="Q506" s="203"/>
      <c r="R506" s="197"/>
      <c r="S506" s="204"/>
      <c r="T506" s="200"/>
      <c r="U506" s="201"/>
      <c r="V506" s="202">
        <v>8</v>
      </c>
      <c r="W506" s="200"/>
      <c r="X506" s="200"/>
      <c r="Y506" s="200"/>
      <c r="Z506" s="200"/>
      <c r="AA506" s="200"/>
      <c r="AB506" s="200"/>
      <c r="AC506" s="200"/>
      <c r="AD506" s="201"/>
      <c r="AE506" s="203"/>
      <c r="AF506" s="203"/>
      <c r="AG506" s="89" t="s">
        <v>55</v>
      </c>
      <c r="AH506" s="55"/>
      <c r="AI506" s="55"/>
      <c r="AJ506" s="55"/>
      <c r="AK506" s="55"/>
      <c r="AL506" s="55"/>
      <c r="AM506" s="55"/>
      <c r="AN506" s="55"/>
      <c r="AO506" s="55"/>
      <c r="AP506" s="55"/>
      <c r="AQ506" s="64"/>
      <c r="AU506" s="46"/>
      <c r="AV506" s="46"/>
      <c r="AW506" s="46"/>
    </row>
    <row r="507" spans="2:49" ht="13.5" hidden="1" customHeight="1" thickBot="1" x14ac:dyDescent="0.25">
      <c r="B507" s="59"/>
      <c r="C507" s="59"/>
      <c r="D507" s="74"/>
      <c r="E507" s="90"/>
      <c r="F507" s="90"/>
      <c r="G507" s="90"/>
      <c r="H507" s="90"/>
      <c r="I507" s="90"/>
      <c r="J507" s="91" t="s">
        <v>56</v>
      </c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2"/>
      <c r="AG507" s="69" t="s">
        <v>57</v>
      </c>
      <c r="AH507" s="52"/>
      <c r="AI507" s="52"/>
      <c r="AJ507" s="52"/>
      <c r="AK507" s="52"/>
      <c r="AL507" s="52"/>
      <c r="AM507" s="52"/>
      <c r="AN507" s="52"/>
      <c r="AO507" s="52"/>
      <c r="AP507" s="52"/>
      <c r="AQ507" s="66"/>
      <c r="AU507" s="46"/>
      <c r="AV507" s="46"/>
      <c r="AW507" s="46"/>
    </row>
    <row r="508" spans="2:49" ht="13.5" hidden="1" customHeight="1" thickBot="1" x14ac:dyDescent="0.25">
      <c r="B508" s="59"/>
      <c r="C508" s="59"/>
      <c r="D508" s="93" t="s">
        <v>58</v>
      </c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2"/>
      <c r="S508" s="93" t="s">
        <v>59</v>
      </c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2"/>
      <c r="AG508" s="94" t="s">
        <v>60</v>
      </c>
      <c r="AH508" s="95"/>
      <c r="AI508" s="95"/>
      <c r="AJ508" s="95"/>
      <c r="AK508" s="95"/>
      <c r="AL508" s="72"/>
      <c r="AM508" s="96" t="s">
        <v>61</v>
      </c>
      <c r="AN508" s="95"/>
      <c r="AO508" s="95"/>
      <c r="AP508" s="95"/>
      <c r="AQ508" s="72"/>
      <c r="AU508" s="46"/>
      <c r="AV508" s="46"/>
      <c r="AW508" s="46"/>
    </row>
    <row r="509" spans="2:49" ht="17.25" hidden="1" customHeight="1" thickBot="1" x14ac:dyDescent="0.25">
      <c r="B509" s="57"/>
      <c r="C509" s="57"/>
      <c r="D509" s="93" t="s">
        <v>62</v>
      </c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2"/>
      <c r="S509" s="93" t="s">
        <v>6</v>
      </c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2"/>
      <c r="AG509" s="97" t="s">
        <v>63</v>
      </c>
      <c r="AH509" s="58"/>
      <c r="AI509" s="58"/>
      <c r="AJ509" s="58"/>
      <c r="AK509" s="58"/>
      <c r="AL509" s="72"/>
      <c r="AM509" s="98" t="s">
        <v>64</v>
      </c>
      <c r="AN509" s="58"/>
      <c r="AO509" s="58"/>
      <c r="AP509" s="58"/>
      <c r="AQ509" s="72"/>
      <c r="AU509" s="46"/>
      <c r="AV509" s="46"/>
      <c r="AW509" s="46"/>
    </row>
    <row r="510" spans="2:49" ht="17.25" hidden="1" customHeight="1" x14ac:dyDescent="0.2">
      <c r="B510" s="52"/>
      <c r="C510" s="52"/>
      <c r="D510" s="99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99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100"/>
      <c r="AH510" s="52"/>
      <c r="AI510" s="52"/>
      <c r="AJ510" s="52"/>
      <c r="AK510" s="52"/>
      <c r="AL510" s="52"/>
      <c r="AM510" s="101"/>
      <c r="AN510" s="52"/>
      <c r="AO510" s="52"/>
      <c r="AP510" s="52"/>
      <c r="AQ510" s="52"/>
      <c r="AU510" s="46"/>
      <c r="AV510" s="46"/>
      <c r="AW510" s="46"/>
    </row>
    <row r="511" spans="2:49" ht="15.95" hidden="1" customHeight="1" thickBot="1" x14ac:dyDescent="0.25">
      <c r="AU511" s="46"/>
      <c r="AV511" s="46"/>
      <c r="AW511" s="46"/>
    </row>
    <row r="512" spans="2:49" ht="17.25" hidden="1" customHeight="1" x14ac:dyDescent="0.25">
      <c r="B512" s="53"/>
      <c r="C512" s="53"/>
      <c r="D512" s="54" t="s">
        <v>29</v>
      </c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6" t="s">
        <v>73</v>
      </c>
      <c r="Z512" s="55"/>
      <c r="AA512" s="55"/>
      <c r="AB512" s="55"/>
      <c r="AC512" s="55"/>
      <c r="AD512" s="55"/>
      <c r="AE512" s="55"/>
      <c r="AF512" s="55"/>
      <c r="AG512" s="55"/>
      <c r="AH512" s="433" t="s">
        <v>30</v>
      </c>
      <c r="AI512" s="434"/>
      <c r="AJ512" s="434"/>
      <c r="AK512" s="434"/>
      <c r="AL512" s="434"/>
      <c r="AM512" s="435" t="str">
        <f>IF(($AU$9+15)&gt;$AX$9,"",VLOOKUP($AU$9+15,Spielplan,3,0))</f>
        <v/>
      </c>
      <c r="AN512" s="435"/>
      <c r="AO512" s="435"/>
      <c r="AP512" s="435"/>
      <c r="AQ512" s="436"/>
      <c r="AU512" s="46"/>
      <c r="AV512" s="46"/>
      <c r="AW512" s="46"/>
    </row>
    <row r="513" spans="2:49" ht="0.75" hidden="1" customHeight="1" thickBot="1" x14ac:dyDescent="0.25">
      <c r="B513" s="57"/>
      <c r="C513" s="57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9"/>
      <c r="AI513" s="52"/>
      <c r="AJ513" s="52"/>
      <c r="AK513" s="52"/>
      <c r="AL513" s="52"/>
      <c r="AM513" s="60"/>
      <c r="AN513" s="60"/>
      <c r="AO513" s="60"/>
      <c r="AP513" s="60"/>
      <c r="AQ513" s="61"/>
      <c r="AU513" s="46"/>
      <c r="AV513" s="46"/>
      <c r="AW513" s="46"/>
    </row>
    <row r="514" spans="2:49" ht="15" hidden="1" x14ac:dyDescent="0.25">
      <c r="B514" s="53"/>
      <c r="C514" s="62"/>
      <c r="D514" s="53"/>
      <c r="E514" s="63" t="s">
        <v>6</v>
      </c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64"/>
      <c r="S514" s="437" t="s">
        <v>31</v>
      </c>
      <c r="T514" s="438"/>
      <c r="U514" s="438"/>
      <c r="V514" s="438"/>
      <c r="W514" s="438"/>
      <c r="X514" s="438"/>
      <c r="Y514" s="362" t="str">
        <f>IF(($AU$9+15)&gt;$AX$9,"","SHTV")</f>
        <v/>
      </c>
      <c r="Z514" s="362"/>
      <c r="AA514" s="362"/>
      <c r="AB514" s="362"/>
      <c r="AC514" s="362"/>
      <c r="AD514" s="362"/>
      <c r="AE514" s="362"/>
      <c r="AF514" s="362"/>
      <c r="AG514" s="362"/>
      <c r="AH514" s="416" t="s">
        <v>32</v>
      </c>
      <c r="AI514" s="417"/>
      <c r="AJ514" s="417"/>
      <c r="AK514" s="417"/>
      <c r="AL514" s="417"/>
      <c r="AM514" s="420" t="str">
        <f>IF(($AU$9+15)&gt;$AX$9,"",VLOOKUP($AU$9+15,Spielplan,4,0))</f>
        <v/>
      </c>
      <c r="AN514" s="421"/>
      <c r="AO514" s="421"/>
      <c r="AP514" s="421"/>
      <c r="AQ514" s="422"/>
      <c r="AU514" s="46"/>
      <c r="AV514" s="46"/>
      <c r="AW514" s="46"/>
    </row>
    <row r="515" spans="2:49" ht="9.9499999999999993" hidden="1" customHeight="1" x14ac:dyDescent="0.2">
      <c r="B515" s="59"/>
      <c r="C515" s="65"/>
      <c r="D515" s="59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66"/>
      <c r="S515" s="400"/>
      <c r="T515" s="399"/>
      <c r="U515" s="399"/>
      <c r="V515" s="399"/>
      <c r="W515" s="399"/>
      <c r="X515" s="399"/>
      <c r="Y515" s="402"/>
      <c r="Z515" s="402"/>
      <c r="AA515" s="402"/>
      <c r="AB515" s="402"/>
      <c r="AC515" s="402"/>
      <c r="AD515" s="402"/>
      <c r="AE515" s="402"/>
      <c r="AF515" s="402"/>
      <c r="AG515" s="402"/>
      <c r="AH515" s="418"/>
      <c r="AI515" s="419"/>
      <c r="AJ515" s="419"/>
      <c r="AK515" s="419"/>
      <c r="AL515" s="419"/>
      <c r="AM515" s="423"/>
      <c r="AN515" s="423"/>
      <c r="AO515" s="423"/>
      <c r="AP515" s="423"/>
      <c r="AQ515" s="424"/>
      <c r="AU515" s="46"/>
      <c r="AV515" s="46"/>
      <c r="AW515" s="46"/>
    </row>
    <row r="516" spans="2:49" ht="13.15" hidden="1" customHeight="1" x14ac:dyDescent="0.2">
      <c r="B516" s="59"/>
      <c r="C516" s="65"/>
      <c r="D516" s="59"/>
      <c r="E516" s="52" t="s">
        <v>33</v>
      </c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66"/>
      <c r="S516" s="398" t="s">
        <v>34</v>
      </c>
      <c r="T516" s="399"/>
      <c r="U516" s="399"/>
      <c r="V516" s="399"/>
      <c r="W516" s="399"/>
      <c r="X516" s="399"/>
      <c r="Y516" s="402" t="str">
        <f>IF(($AU$9+15)&gt;$AX$9,"",Platzierung!$U$3)</f>
        <v/>
      </c>
      <c r="Z516" s="402"/>
      <c r="AA516" s="402"/>
      <c r="AB516" s="402"/>
      <c r="AC516" s="402"/>
      <c r="AD516" s="402"/>
      <c r="AE516" s="402"/>
      <c r="AF516" s="402"/>
      <c r="AG516" s="402"/>
      <c r="AH516" s="416" t="s">
        <v>35</v>
      </c>
      <c r="AI516" s="417"/>
      <c r="AJ516" s="417"/>
      <c r="AK516" s="417"/>
      <c r="AL516" s="417"/>
      <c r="AM516" s="420" t="str">
        <f>IF(($AU$9+15)&gt;$AX$9,"",VLOOKUP($AU$9+15,Spielplan,6,0))</f>
        <v/>
      </c>
      <c r="AN516" s="421"/>
      <c r="AO516" s="421"/>
      <c r="AP516" s="421"/>
      <c r="AQ516" s="422"/>
      <c r="AU516" s="46"/>
      <c r="AV516" s="46"/>
      <c r="AW516" s="46"/>
    </row>
    <row r="517" spans="2:49" ht="9.9499999999999993" hidden="1" customHeight="1" x14ac:dyDescent="0.2">
      <c r="B517" s="59"/>
      <c r="C517" s="65"/>
      <c r="D517" s="59"/>
      <c r="E517" s="52"/>
      <c r="F517" s="52"/>
      <c r="G517" s="52"/>
      <c r="H517" s="52"/>
      <c r="I517" s="52"/>
      <c r="J517" s="67" t="s">
        <v>36</v>
      </c>
      <c r="K517" s="52"/>
      <c r="L517" s="52"/>
      <c r="M517" s="52"/>
      <c r="N517" s="52"/>
      <c r="O517" s="52"/>
      <c r="P517" s="52"/>
      <c r="Q517" s="52"/>
      <c r="R517" s="66"/>
      <c r="S517" s="400"/>
      <c r="T517" s="399"/>
      <c r="U517" s="399"/>
      <c r="V517" s="399"/>
      <c r="W517" s="399"/>
      <c r="X517" s="399"/>
      <c r="Y517" s="402"/>
      <c r="Z517" s="402"/>
      <c r="AA517" s="402"/>
      <c r="AB517" s="402"/>
      <c r="AC517" s="402"/>
      <c r="AD517" s="402"/>
      <c r="AE517" s="402"/>
      <c r="AF517" s="402"/>
      <c r="AG517" s="402"/>
      <c r="AH517" s="418"/>
      <c r="AI517" s="419"/>
      <c r="AJ517" s="419"/>
      <c r="AK517" s="419"/>
      <c r="AL517" s="419"/>
      <c r="AM517" s="423"/>
      <c r="AN517" s="423"/>
      <c r="AO517" s="423"/>
      <c r="AP517" s="423"/>
      <c r="AQ517" s="424"/>
      <c r="AU517" s="46"/>
      <c r="AV517" s="46"/>
      <c r="AW517" s="46"/>
    </row>
    <row r="518" spans="2:49" ht="15.75" hidden="1" customHeight="1" x14ac:dyDescent="0.2">
      <c r="B518" s="59"/>
      <c r="C518" s="65"/>
      <c r="D518" s="394" t="str">
        <f>IF(($AU$9+15)&gt;$AX$9,"",VLOOKUP($AU$9+15,Spielplan,10,0))</f>
        <v/>
      </c>
      <c r="E518" s="395"/>
      <c r="F518" s="395"/>
      <c r="G518" s="395"/>
      <c r="H518" s="395"/>
      <c r="I518" s="395"/>
      <c r="J518" s="395"/>
      <c r="K518" s="395"/>
      <c r="L518" s="395"/>
      <c r="M518" s="395"/>
      <c r="N518" s="395"/>
      <c r="O518" s="395"/>
      <c r="P518" s="395"/>
      <c r="Q518" s="395"/>
      <c r="R518" s="396"/>
      <c r="S518" s="398" t="s">
        <v>37</v>
      </c>
      <c r="T518" s="399"/>
      <c r="U518" s="399"/>
      <c r="V518" s="399"/>
      <c r="W518" s="399"/>
      <c r="X518" s="399"/>
      <c r="Y518" s="401" t="str">
        <f>IF(($AU$9+15)&gt;$AX$9,"",VLOOKUP($AU$9+15,Spielplan,2,0))</f>
        <v/>
      </c>
      <c r="Z518" s="402"/>
      <c r="AA518" s="402"/>
      <c r="AB518" s="402"/>
      <c r="AC518" s="402"/>
      <c r="AD518" s="402"/>
      <c r="AE518" s="402"/>
      <c r="AF518" s="402"/>
      <c r="AG518" s="402"/>
      <c r="AH518" s="403" t="s">
        <v>38</v>
      </c>
      <c r="AI518" s="399"/>
      <c r="AJ518" s="399"/>
      <c r="AK518" s="399"/>
      <c r="AL518" s="399"/>
      <c r="AM518" s="425" t="str">
        <f>IF(($AU$9+15)&gt;$AX$9,"",VLOOKUP($AU$9+15,Spielplan,5,0))</f>
        <v/>
      </c>
      <c r="AN518" s="426"/>
      <c r="AO518" s="426"/>
      <c r="AP518" s="426"/>
      <c r="AQ518" s="427"/>
      <c r="AU518" s="46"/>
      <c r="AV518" s="46"/>
      <c r="AW518" s="46"/>
    </row>
    <row r="519" spans="2:49" ht="11.1" hidden="1" customHeight="1" thickBot="1" x14ac:dyDescent="0.25">
      <c r="B519" s="59"/>
      <c r="C519" s="65"/>
      <c r="D519" s="397"/>
      <c r="E519" s="395"/>
      <c r="F519" s="395"/>
      <c r="G519" s="395"/>
      <c r="H519" s="395"/>
      <c r="I519" s="395"/>
      <c r="J519" s="395"/>
      <c r="K519" s="395"/>
      <c r="L519" s="395"/>
      <c r="M519" s="395"/>
      <c r="N519" s="395"/>
      <c r="O519" s="395"/>
      <c r="P519" s="395"/>
      <c r="Q519" s="395"/>
      <c r="R519" s="396"/>
      <c r="S519" s="400"/>
      <c r="T519" s="399"/>
      <c r="U519" s="399"/>
      <c r="V519" s="399"/>
      <c r="W519" s="399"/>
      <c r="X519" s="399"/>
      <c r="Y519" s="402"/>
      <c r="Z519" s="402"/>
      <c r="AA519" s="402"/>
      <c r="AB519" s="402"/>
      <c r="AC519" s="402"/>
      <c r="AD519" s="402"/>
      <c r="AE519" s="402"/>
      <c r="AF519" s="402"/>
      <c r="AG519" s="402"/>
      <c r="AH519" s="404"/>
      <c r="AI519" s="405"/>
      <c r="AJ519" s="405"/>
      <c r="AK519" s="405"/>
      <c r="AL519" s="405"/>
      <c r="AM519" s="428"/>
      <c r="AN519" s="428"/>
      <c r="AO519" s="428"/>
      <c r="AP519" s="428"/>
      <c r="AQ519" s="429"/>
      <c r="AU519" s="46"/>
      <c r="AV519" s="46"/>
      <c r="AW519" s="46"/>
    </row>
    <row r="520" spans="2:49" ht="11.1" hidden="1" customHeight="1" thickBot="1" x14ac:dyDescent="0.25">
      <c r="B520" s="59"/>
      <c r="C520" s="65"/>
      <c r="D520" s="57"/>
      <c r="E520" s="58"/>
      <c r="F520" s="58"/>
      <c r="G520" s="58"/>
      <c r="H520" s="58"/>
      <c r="I520" s="58"/>
      <c r="J520" s="58" t="s">
        <v>39</v>
      </c>
      <c r="K520" s="58"/>
      <c r="L520" s="58"/>
      <c r="M520" s="58"/>
      <c r="N520" s="58"/>
      <c r="O520" s="52"/>
      <c r="P520" s="52"/>
      <c r="Q520" s="58"/>
      <c r="R520" s="68"/>
      <c r="S520" s="59"/>
      <c r="T520" s="52"/>
      <c r="U520" s="52"/>
      <c r="V520" s="52"/>
      <c r="W520" s="52"/>
      <c r="X520" s="52"/>
      <c r="Y520" s="430"/>
      <c r="Z520" s="430"/>
      <c r="AA520" s="430"/>
      <c r="AB520" s="430"/>
      <c r="AC520" s="430"/>
      <c r="AD520" s="430"/>
      <c r="AE520" s="430"/>
      <c r="AF520" s="431"/>
      <c r="AG520" s="432"/>
      <c r="AH520" s="69" t="s">
        <v>40</v>
      </c>
      <c r="AI520" s="52"/>
      <c r="AJ520" s="52"/>
      <c r="AK520" s="52"/>
      <c r="AL520" s="52"/>
      <c r="AM520" s="52"/>
      <c r="AN520" s="52"/>
      <c r="AO520" s="70"/>
      <c r="AP520" s="52"/>
      <c r="AQ520" s="66"/>
      <c r="AU520" s="46"/>
      <c r="AV520" s="46"/>
      <c r="AW520" s="46"/>
    </row>
    <row r="521" spans="2:49" ht="13.5" hidden="1" customHeight="1" thickBot="1" x14ac:dyDescent="0.3">
      <c r="B521" s="59"/>
      <c r="C521" s="65"/>
      <c r="D521" s="53"/>
      <c r="E521" s="63" t="s">
        <v>8</v>
      </c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388" t="s">
        <v>41</v>
      </c>
      <c r="R521" s="53"/>
      <c r="S521" s="53"/>
      <c r="T521" s="63" t="s">
        <v>7</v>
      </c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64"/>
      <c r="AF521" s="391" t="s">
        <v>41</v>
      </c>
      <c r="AG521" s="59"/>
      <c r="AH521" s="71" t="s">
        <v>42</v>
      </c>
      <c r="AI521" s="58"/>
      <c r="AJ521" s="58"/>
      <c r="AK521" s="58"/>
      <c r="AL521" s="58"/>
      <c r="AM521" s="58"/>
      <c r="AN521" s="58"/>
      <c r="AO521" s="72"/>
      <c r="AP521" s="52"/>
      <c r="AQ521" s="66"/>
      <c r="AU521" s="46"/>
      <c r="AV521" s="46"/>
      <c r="AW521" s="46"/>
    </row>
    <row r="522" spans="2:49" ht="12" hidden="1" customHeight="1" thickBot="1" x14ac:dyDescent="0.25">
      <c r="B522" s="59"/>
      <c r="C522" s="65"/>
      <c r="D522" s="394" t="str">
        <f>IF(($AU$9+15)&gt;$AX$9,"",VLOOKUP($AU$9+15,Spielplan,7,0))</f>
        <v/>
      </c>
      <c r="E522" s="395"/>
      <c r="F522" s="395"/>
      <c r="G522" s="395"/>
      <c r="H522" s="395"/>
      <c r="I522" s="395"/>
      <c r="J522" s="395"/>
      <c r="K522" s="395"/>
      <c r="L522" s="395"/>
      <c r="M522" s="395"/>
      <c r="N522" s="395"/>
      <c r="O522" s="395"/>
      <c r="P522" s="396"/>
      <c r="Q522" s="389"/>
      <c r="R522" s="59"/>
      <c r="S522" s="394" t="str">
        <f>IF(($AU$9+15)&gt;$AX$9,"",VLOOKUP($AU$9+15,Spielplan,9,0))</f>
        <v/>
      </c>
      <c r="T522" s="395"/>
      <c r="U522" s="395"/>
      <c r="V522" s="395"/>
      <c r="W522" s="395"/>
      <c r="X522" s="395"/>
      <c r="Y522" s="395"/>
      <c r="Z522" s="395"/>
      <c r="AA522" s="395"/>
      <c r="AB522" s="395"/>
      <c r="AC522" s="395"/>
      <c r="AD522" s="395"/>
      <c r="AE522" s="409"/>
      <c r="AF522" s="392"/>
      <c r="AG522" s="59"/>
      <c r="AH522" s="410" t="s">
        <v>43</v>
      </c>
      <c r="AI522" s="411"/>
      <c r="AJ522" s="411"/>
      <c r="AK522" s="411"/>
      <c r="AL522" s="411"/>
      <c r="AM522" s="412"/>
      <c r="AN522" s="73" t="s">
        <v>44</v>
      </c>
      <c r="AO522" s="74"/>
      <c r="AP522" s="74"/>
      <c r="AQ522" s="72"/>
      <c r="AU522" s="46"/>
      <c r="AV522" s="46"/>
      <c r="AW522" s="46"/>
    </row>
    <row r="523" spans="2:49" ht="12" hidden="1" customHeight="1" thickBot="1" x14ac:dyDescent="0.25">
      <c r="B523" s="57"/>
      <c r="C523" s="70"/>
      <c r="D523" s="406"/>
      <c r="E523" s="407"/>
      <c r="F523" s="407"/>
      <c r="G523" s="407"/>
      <c r="H523" s="407"/>
      <c r="I523" s="407"/>
      <c r="J523" s="407"/>
      <c r="K523" s="407"/>
      <c r="L523" s="407"/>
      <c r="M523" s="407"/>
      <c r="N523" s="407"/>
      <c r="O523" s="407"/>
      <c r="P523" s="408"/>
      <c r="Q523" s="390"/>
      <c r="R523" s="57"/>
      <c r="S523" s="406"/>
      <c r="T523" s="407"/>
      <c r="U523" s="407"/>
      <c r="V523" s="407"/>
      <c r="W523" s="407"/>
      <c r="X523" s="407"/>
      <c r="Y523" s="407"/>
      <c r="Z523" s="407"/>
      <c r="AA523" s="407"/>
      <c r="AB523" s="407"/>
      <c r="AC523" s="407"/>
      <c r="AD523" s="407"/>
      <c r="AE523" s="385"/>
      <c r="AF523" s="393"/>
      <c r="AG523" s="57"/>
      <c r="AH523" s="413"/>
      <c r="AI523" s="414"/>
      <c r="AJ523" s="414"/>
      <c r="AK523" s="414"/>
      <c r="AL523" s="414"/>
      <c r="AM523" s="415"/>
      <c r="AN523" s="73" t="s">
        <v>45</v>
      </c>
      <c r="AO523" s="74"/>
      <c r="AP523" s="74"/>
      <c r="AQ523" s="72"/>
      <c r="AU523" s="46"/>
      <c r="AV523" s="46"/>
      <c r="AW523" s="46"/>
    </row>
    <row r="524" spans="2:49" ht="9.9499999999999993" hidden="1" customHeight="1" thickBot="1" x14ac:dyDescent="0.25">
      <c r="B524" s="59"/>
      <c r="C524" s="59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66"/>
      <c r="AU524" s="46"/>
      <c r="AV524" s="46"/>
      <c r="AW524" s="46"/>
    </row>
    <row r="525" spans="2:49" hidden="1" x14ac:dyDescent="0.2">
      <c r="B525" s="53"/>
      <c r="C525" s="62" t="s">
        <v>44</v>
      </c>
      <c r="D525" s="75"/>
      <c r="E525" s="76"/>
      <c r="F525" s="76"/>
      <c r="G525" s="76"/>
      <c r="H525" s="77"/>
      <c r="I525" s="75"/>
      <c r="J525" s="76"/>
      <c r="K525" s="76"/>
      <c r="L525" s="76"/>
      <c r="M525" s="77"/>
      <c r="N525" s="75"/>
      <c r="O525" s="76"/>
      <c r="P525" s="76"/>
      <c r="Q525" s="76"/>
      <c r="R525" s="77"/>
      <c r="S525" s="75"/>
      <c r="T525" s="76"/>
      <c r="U525" s="76"/>
      <c r="V525" s="76"/>
      <c r="W525" s="77"/>
      <c r="X525" s="75"/>
      <c r="Y525" s="76"/>
      <c r="Z525" s="76"/>
      <c r="AA525" s="76"/>
      <c r="AB525" s="77"/>
      <c r="AC525" s="75"/>
      <c r="AD525" s="76"/>
      <c r="AE525" s="76"/>
      <c r="AF525" s="76"/>
      <c r="AG525" s="77"/>
      <c r="AH525" s="75"/>
      <c r="AI525" s="76"/>
      <c r="AJ525" s="76"/>
      <c r="AK525" s="76"/>
      <c r="AL525" s="76"/>
      <c r="AM525" s="188" t="s">
        <v>44</v>
      </c>
      <c r="AN525" s="386"/>
      <c r="AO525" s="386"/>
      <c r="AP525" s="386"/>
      <c r="AQ525" s="387"/>
      <c r="AU525" s="46"/>
      <c r="AV525" s="46"/>
      <c r="AW525" s="46"/>
    </row>
    <row r="526" spans="2:49" ht="13.5" hidden="1" thickBot="1" x14ac:dyDescent="0.25">
      <c r="B526" s="57"/>
      <c r="C526" s="70" t="s">
        <v>45</v>
      </c>
      <c r="D526" s="57"/>
      <c r="E526" s="78"/>
      <c r="F526" s="78"/>
      <c r="G526" s="78"/>
      <c r="H526" s="79"/>
      <c r="I526" s="57"/>
      <c r="J526" s="78"/>
      <c r="K526" s="78"/>
      <c r="L526" s="78"/>
      <c r="M526" s="79"/>
      <c r="N526" s="57"/>
      <c r="O526" s="78"/>
      <c r="P526" s="78"/>
      <c r="Q526" s="78"/>
      <c r="R526" s="79"/>
      <c r="S526" s="57"/>
      <c r="T526" s="78"/>
      <c r="U526" s="78"/>
      <c r="V526" s="78"/>
      <c r="W526" s="79"/>
      <c r="X526" s="57"/>
      <c r="Y526" s="78"/>
      <c r="Z526" s="78"/>
      <c r="AA526" s="78"/>
      <c r="AB526" s="79"/>
      <c r="AC526" s="57"/>
      <c r="AD526" s="78"/>
      <c r="AE526" s="78"/>
      <c r="AF526" s="78"/>
      <c r="AG526" s="79"/>
      <c r="AH526" s="57"/>
      <c r="AI526" s="78"/>
      <c r="AJ526" s="78"/>
      <c r="AK526" s="78"/>
      <c r="AL526" s="78"/>
      <c r="AM526" s="190" t="s">
        <v>45</v>
      </c>
      <c r="AN526" s="323"/>
      <c r="AO526" s="323"/>
      <c r="AP526" s="323"/>
      <c r="AQ526" s="324"/>
      <c r="AU526" s="46"/>
      <c r="AV526" s="46"/>
      <c r="AW526" s="46"/>
    </row>
    <row r="527" spans="2:49" hidden="1" x14ac:dyDescent="0.2">
      <c r="B527" s="53"/>
      <c r="C527" s="62" t="s">
        <v>44</v>
      </c>
      <c r="D527" s="75"/>
      <c r="E527" s="76"/>
      <c r="F527" s="76"/>
      <c r="G527" s="76"/>
      <c r="H527" s="77"/>
      <c r="I527" s="75"/>
      <c r="J527" s="76"/>
      <c r="K527" s="76"/>
      <c r="L527" s="76"/>
      <c r="M527" s="77"/>
      <c r="N527" s="75"/>
      <c r="O527" s="76"/>
      <c r="P527" s="76"/>
      <c r="Q527" s="76"/>
      <c r="R527" s="77"/>
      <c r="S527" s="75"/>
      <c r="T527" s="76"/>
      <c r="U527" s="76"/>
      <c r="V527" s="76"/>
      <c r="W527" s="77"/>
      <c r="X527" s="75"/>
      <c r="Y527" s="76"/>
      <c r="Z527" s="76"/>
      <c r="AA527" s="76"/>
      <c r="AB527" s="77"/>
      <c r="AC527" s="75"/>
      <c r="AD527" s="76"/>
      <c r="AE527" s="76"/>
      <c r="AF527" s="76"/>
      <c r="AG527" s="77"/>
      <c r="AH527" s="75"/>
      <c r="AI527" s="76"/>
      <c r="AJ527" s="76"/>
      <c r="AK527" s="76"/>
      <c r="AL527" s="76"/>
      <c r="AM527" s="188" t="s">
        <v>44</v>
      </c>
      <c r="AN527" s="386"/>
      <c r="AO527" s="386"/>
      <c r="AP527" s="386"/>
      <c r="AQ527" s="387"/>
      <c r="AU527" s="46"/>
      <c r="AV527" s="46"/>
      <c r="AW527" s="46"/>
    </row>
    <row r="528" spans="2:49" ht="13.5" hidden="1" thickBot="1" x14ac:dyDescent="0.25">
      <c r="B528" s="57"/>
      <c r="C528" s="70" t="s">
        <v>45</v>
      </c>
      <c r="D528" s="57"/>
      <c r="E528" s="78"/>
      <c r="F528" s="78"/>
      <c r="G528" s="78"/>
      <c r="H528" s="79"/>
      <c r="I528" s="57"/>
      <c r="J528" s="78"/>
      <c r="K528" s="78"/>
      <c r="L528" s="78"/>
      <c r="M528" s="79"/>
      <c r="N528" s="57"/>
      <c r="O528" s="78"/>
      <c r="P528" s="78"/>
      <c r="Q528" s="78"/>
      <c r="R528" s="79"/>
      <c r="S528" s="57"/>
      <c r="T528" s="78"/>
      <c r="U528" s="78"/>
      <c r="V528" s="78"/>
      <c r="W528" s="79"/>
      <c r="X528" s="57"/>
      <c r="Y528" s="78"/>
      <c r="Z528" s="78"/>
      <c r="AA528" s="78"/>
      <c r="AB528" s="79"/>
      <c r="AC528" s="57"/>
      <c r="AD528" s="78"/>
      <c r="AE528" s="78"/>
      <c r="AF528" s="78"/>
      <c r="AG528" s="79"/>
      <c r="AH528" s="57"/>
      <c r="AI528" s="78"/>
      <c r="AJ528" s="78"/>
      <c r="AK528" s="78"/>
      <c r="AL528" s="78"/>
      <c r="AM528" s="189" t="s">
        <v>45</v>
      </c>
      <c r="AN528" s="338"/>
      <c r="AO528" s="338"/>
      <c r="AP528" s="338"/>
      <c r="AQ528" s="339"/>
      <c r="AU528" s="46"/>
      <c r="AV528" s="46"/>
      <c r="AW528" s="46"/>
    </row>
    <row r="529" spans="2:49" hidden="1" x14ac:dyDescent="0.2">
      <c r="B529" s="53"/>
      <c r="C529" s="62" t="s">
        <v>44</v>
      </c>
      <c r="D529" s="75"/>
      <c r="E529" s="76"/>
      <c r="F529" s="76"/>
      <c r="G529" s="76"/>
      <c r="H529" s="77"/>
      <c r="I529" s="75"/>
      <c r="J529" s="76"/>
      <c r="K529" s="76"/>
      <c r="L529" s="76"/>
      <c r="M529" s="77"/>
      <c r="N529" s="75"/>
      <c r="O529" s="76"/>
      <c r="P529" s="76"/>
      <c r="Q529" s="76"/>
      <c r="R529" s="77"/>
      <c r="S529" s="75"/>
      <c r="T529" s="76"/>
      <c r="U529" s="76"/>
      <c r="V529" s="76"/>
      <c r="W529" s="77"/>
      <c r="X529" s="75"/>
      <c r="Y529" s="76"/>
      <c r="Z529" s="76"/>
      <c r="AA529" s="76"/>
      <c r="AB529" s="77"/>
      <c r="AC529" s="75"/>
      <c r="AD529" s="76"/>
      <c r="AE529" s="76"/>
      <c r="AF529" s="76"/>
      <c r="AG529" s="77"/>
      <c r="AH529" s="75"/>
      <c r="AI529" s="76"/>
      <c r="AJ529" s="76"/>
      <c r="AK529" s="76"/>
      <c r="AL529" s="76"/>
      <c r="AM529" s="188" t="s">
        <v>44</v>
      </c>
      <c r="AN529" s="386"/>
      <c r="AO529" s="386"/>
      <c r="AP529" s="386"/>
      <c r="AQ529" s="387"/>
      <c r="AU529" s="46"/>
      <c r="AV529" s="46"/>
      <c r="AW529" s="46"/>
    </row>
    <row r="530" spans="2:49" ht="13.5" hidden="1" thickBot="1" x14ac:dyDescent="0.25">
      <c r="B530" s="57"/>
      <c r="C530" s="70" t="s">
        <v>45</v>
      </c>
      <c r="D530" s="57"/>
      <c r="E530" s="78"/>
      <c r="F530" s="78"/>
      <c r="G530" s="78"/>
      <c r="H530" s="79"/>
      <c r="I530" s="57"/>
      <c r="J530" s="78"/>
      <c r="K530" s="78"/>
      <c r="L530" s="78"/>
      <c r="M530" s="79"/>
      <c r="N530" s="57"/>
      <c r="O530" s="78"/>
      <c r="P530" s="78"/>
      <c r="Q530" s="78"/>
      <c r="R530" s="79"/>
      <c r="S530" s="57"/>
      <c r="T530" s="78"/>
      <c r="U530" s="78"/>
      <c r="V530" s="78"/>
      <c r="W530" s="79"/>
      <c r="X530" s="57"/>
      <c r="Y530" s="78"/>
      <c r="Z530" s="78"/>
      <c r="AA530" s="78"/>
      <c r="AB530" s="79"/>
      <c r="AC530" s="57"/>
      <c r="AD530" s="78"/>
      <c r="AE530" s="78"/>
      <c r="AF530" s="78"/>
      <c r="AG530" s="79"/>
      <c r="AH530" s="57"/>
      <c r="AI530" s="78"/>
      <c r="AJ530" s="78"/>
      <c r="AK530" s="78"/>
      <c r="AL530" s="78"/>
      <c r="AM530" s="189" t="s">
        <v>45</v>
      </c>
      <c r="AN530" s="338"/>
      <c r="AO530" s="338"/>
      <c r="AP530" s="338"/>
      <c r="AQ530" s="339"/>
      <c r="AU530" s="46"/>
      <c r="AV530" s="46"/>
      <c r="AW530" s="46"/>
    </row>
    <row r="531" spans="2:49" ht="9.9499999999999993" hidden="1" customHeight="1" x14ac:dyDescent="0.2">
      <c r="B531" s="59"/>
      <c r="C531" s="59"/>
      <c r="D531" s="374" t="s">
        <v>46</v>
      </c>
      <c r="E531" s="375"/>
      <c r="F531" s="376"/>
      <c r="G531" s="380" t="s">
        <v>47</v>
      </c>
      <c r="H531" s="381"/>
      <c r="I531" s="381"/>
      <c r="J531" s="381"/>
      <c r="K531" s="381"/>
      <c r="L531" s="381"/>
      <c r="M531" s="381"/>
      <c r="N531" s="381"/>
      <c r="O531" s="382"/>
      <c r="P531" s="359" t="s">
        <v>41</v>
      </c>
      <c r="Q531" s="359" t="s">
        <v>48</v>
      </c>
      <c r="R531" s="52"/>
      <c r="S531" s="374" t="s">
        <v>46</v>
      </c>
      <c r="T531" s="375"/>
      <c r="U531" s="376"/>
      <c r="V531" s="380" t="s">
        <v>47</v>
      </c>
      <c r="W531" s="381"/>
      <c r="X531" s="381"/>
      <c r="Y531" s="381"/>
      <c r="Z531" s="381"/>
      <c r="AA531" s="381"/>
      <c r="AB531" s="381"/>
      <c r="AC531" s="381"/>
      <c r="AD531" s="382"/>
      <c r="AE531" s="359" t="s">
        <v>41</v>
      </c>
      <c r="AF531" s="359" t="s">
        <v>48</v>
      </c>
      <c r="AG531" s="80"/>
      <c r="AH531" s="81"/>
      <c r="AI531" s="81"/>
      <c r="AJ531" s="81"/>
      <c r="AK531" s="81"/>
      <c r="AL531" s="81"/>
      <c r="AM531" s="99"/>
      <c r="AN531" s="373" t="s">
        <v>1</v>
      </c>
      <c r="AO531" s="373"/>
      <c r="AP531" s="373" t="s">
        <v>2</v>
      </c>
      <c r="AQ531" s="373"/>
      <c r="AR531" s="82"/>
      <c r="AU531" s="46"/>
      <c r="AV531" s="46"/>
      <c r="AW531" s="46"/>
    </row>
    <row r="532" spans="2:49" ht="13.5" hidden="1" thickBot="1" x14ac:dyDescent="0.25">
      <c r="B532" s="59"/>
      <c r="C532" s="59"/>
      <c r="D532" s="377"/>
      <c r="E532" s="378"/>
      <c r="F532" s="379"/>
      <c r="G532" s="383"/>
      <c r="H532" s="384"/>
      <c r="I532" s="384"/>
      <c r="J532" s="384"/>
      <c r="K532" s="384"/>
      <c r="L532" s="384"/>
      <c r="M532" s="384"/>
      <c r="N532" s="384"/>
      <c r="O532" s="385"/>
      <c r="P532" s="360"/>
      <c r="Q532" s="360"/>
      <c r="R532" s="52"/>
      <c r="S532" s="377"/>
      <c r="T532" s="378"/>
      <c r="U532" s="379"/>
      <c r="V532" s="383"/>
      <c r="W532" s="384"/>
      <c r="X532" s="384"/>
      <c r="Y532" s="384"/>
      <c r="Z532" s="384"/>
      <c r="AA532" s="384"/>
      <c r="AB532" s="384"/>
      <c r="AC532" s="384"/>
      <c r="AD532" s="385"/>
      <c r="AE532" s="360"/>
      <c r="AF532" s="360"/>
      <c r="AG532" s="83"/>
      <c r="AH532" s="52"/>
      <c r="AI532" s="84" t="s">
        <v>49</v>
      </c>
      <c r="AJ532" s="84"/>
      <c r="AK532" s="84"/>
      <c r="AL532" s="84"/>
      <c r="AM532" s="84"/>
      <c r="AN532" s="84"/>
      <c r="AO532" s="85"/>
      <c r="AP532" s="85"/>
      <c r="AQ532" s="86"/>
      <c r="AR532" s="82"/>
      <c r="AU532" s="46"/>
      <c r="AV532" s="46"/>
      <c r="AW532" s="46"/>
    </row>
    <row r="533" spans="2:49" ht="13.5" hidden="1" customHeight="1" x14ac:dyDescent="0.2">
      <c r="B533" s="59"/>
      <c r="C533" s="59"/>
      <c r="D533" s="198"/>
      <c r="E533" s="191"/>
      <c r="F533" s="192"/>
      <c r="G533" s="193" t="s">
        <v>50</v>
      </c>
      <c r="H533" s="194"/>
      <c r="I533" s="194"/>
      <c r="J533" s="194"/>
      <c r="K533" s="194"/>
      <c r="L533" s="194"/>
      <c r="M533" s="194"/>
      <c r="N533" s="194"/>
      <c r="O533" s="195"/>
      <c r="P533" s="196"/>
      <c r="Q533" s="196"/>
      <c r="R533" s="197"/>
      <c r="S533" s="198"/>
      <c r="T533" s="191"/>
      <c r="U533" s="192"/>
      <c r="V533" s="193" t="s">
        <v>50</v>
      </c>
      <c r="W533" s="194"/>
      <c r="X533" s="194"/>
      <c r="Y533" s="194"/>
      <c r="Z533" s="194"/>
      <c r="AA533" s="194"/>
      <c r="AB533" s="194"/>
      <c r="AC533" s="194"/>
      <c r="AD533" s="195"/>
      <c r="AE533" s="196"/>
      <c r="AF533" s="196"/>
      <c r="AG533" s="361" t="s">
        <v>68</v>
      </c>
      <c r="AH533" s="362"/>
      <c r="AI533" s="362"/>
      <c r="AJ533" s="363"/>
      <c r="AK533" s="367" t="s">
        <v>51</v>
      </c>
      <c r="AL533" s="368"/>
      <c r="AM533" s="368"/>
      <c r="AN533" s="368"/>
      <c r="AO533" s="368"/>
      <c r="AP533" s="368"/>
      <c r="AQ533" s="369"/>
      <c r="AU533" s="46"/>
      <c r="AV533" s="46"/>
      <c r="AW533" s="46"/>
    </row>
    <row r="534" spans="2:49" ht="13.5" hidden="1" customHeight="1" thickBot="1" x14ac:dyDescent="0.25">
      <c r="B534" s="59"/>
      <c r="C534" s="59"/>
      <c r="D534" s="198"/>
      <c r="E534" s="191"/>
      <c r="F534" s="192"/>
      <c r="G534" s="199">
        <v>2</v>
      </c>
      <c r="H534" s="191"/>
      <c r="I534" s="191"/>
      <c r="J534" s="191"/>
      <c r="K534" s="191"/>
      <c r="L534" s="191"/>
      <c r="M534" s="191"/>
      <c r="N534" s="191"/>
      <c r="O534" s="192"/>
      <c r="P534" s="196"/>
      <c r="Q534" s="196"/>
      <c r="R534" s="197"/>
      <c r="S534" s="198"/>
      <c r="T534" s="191"/>
      <c r="U534" s="192"/>
      <c r="V534" s="199">
        <v>2</v>
      </c>
      <c r="W534" s="191"/>
      <c r="X534" s="191"/>
      <c r="Y534" s="191"/>
      <c r="Z534" s="191"/>
      <c r="AA534" s="191"/>
      <c r="AB534" s="191"/>
      <c r="AC534" s="191"/>
      <c r="AD534" s="192"/>
      <c r="AE534" s="196"/>
      <c r="AF534" s="196"/>
      <c r="AG534" s="364"/>
      <c r="AH534" s="365"/>
      <c r="AI534" s="365"/>
      <c r="AJ534" s="366"/>
      <c r="AK534" s="370"/>
      <c r="AL534" s="371"/>
      <c r="AM534" s="371"/>
      <c r="AN534" s="371"/>
      <c r="AO534" s="371"/>
      <c r="AP534" s="371"/>
      <c r="AQ534" s="372"/>
      <c r="AU534" s="46"/>
      <c r="AV534" s="46"/>
      <c r="AW534" s="46"/>
    </row>
    <row r="535" spans="2:49" ht="13.5" hidden="1" customHeight="1" x14ac:dyDescent="0.2">
      <c r="B535" s="59"/>
      <c r="C535" s="59"/>
      <c r="D535" s="198"/>
      <c r="E535" s="191"/>
      <c r="F535" s="192"/>
      <c r="G535" s="199">
        <v>3</v>
      </c>
      <c r="H535" s="191"/>
      <c r="I535" s="191"/>
      <c r="J535" s="191"/>
      <c r="K535" s="191"/>
      <c r="L535" s="191"/>
      <c r="M535" s="191"/>
      <c r="N535" s="191"/>
      <c r="O535" s="192"/>
      <c r="P535" s="196"/>
      <c r="Q535" s="196"/>
      <c r="R535" s="197"/>
      <c r="S535" s="198"/>
      <c r="T535" s="191"/>
      <c r="U535" s="192"/>
      <c r="V535" s="199">
        <v>3</v>
      </c>
      <c r="W535" s="191"/>
      <c r="X535" s="191"/>
      <c r="Y535" s="191"/>
      <c r="Z535" s="191"/>
      <c r="AA535" s="191"/>
      <c r="AB535" s="191"/>
      <c r="AC535" s="191"/>
      <c r="AD535" s="192"/>
      <c r="AE535" s="196"/>
      <c r="AF535" s="196"/>
      <c r="AG535" s="361" t="s">
        <v>2</v>
      </c>
      <c r="AH535" s="362"/>
      <c r="AI535" s="362"/>
      <c r="AJ535" s="363"/>
      <c r="AK535" s="367" t="s">
        <v>51</v>
      </c>
      <c r="AL535" s="368"/>
      <c r="AM535" s="368"/>
      <c r="AN535" s="368"/>
      <c r="AO535" s="368"/>
      <c r="AP535" s="368"/>
      <c r="AQ535" s="369"/>
      <c r="AU535" s="46"/>
      <c r="AV535" s="46"/>
      <c r="AW535" s="46"/>
    </row>
    <row r="536" spans="2:49" ht="13.5" hidden="1" customHeight="1" thickBot="1" x14ac:dyDescent="0.25">
      <c r="B536" s="59"/>
      <c r="C536" s="59"/>
      <c r="D536" s="198"/>
      <c r="E536" s="191"/>
      <c r="F536" s="192"/>
      <c r="G536" s="199">
        <v>4</v>
      </c>
      <c r="H536" s="191"/>
      <c r="I536" s="191"/>
      <c r="J536" s="191"/>
      <c r="K536" s="191"/>
      <c r="L536" s="191"/>
      <c r="M536" s="191"/>
      <c r="N536" s="191"/>
      <c r="O536" s="192"/>
      <c r="P536" s="196"/>
      <c r="Q536" s="196"/>
      <c r="R536" s="197"/>
      <c r="S536" s="198"/>
      <c r="T536" s="191"/>
      <c r="U536" s="192"/>
      <c r="V536" s="199">
        <v>4</v>
      </c>
      <c r="W536" s="191"/>
      <c r="X536" s="191"/>
      <c r="Y536" s="191"/>
      <c r="Z536" s="191"/>
      <c r="AA536" s="191"/>
      <c r="AB536" s="191"/>
      <c r="AC536" s="191"/>
      <c r="AD536" s="192"/>
      <c r="AE536" s="196"/>
      <c r="AF536" s="196"/>
      <c r="AG536" s="364"/>
      <c r="AH536" s="365"/>
      <c r="AI536" s="365"/>
      <c r="AJ536" s="366"/>
      <c r="AK536" s="370"/>
      <c r="AL536" s="371"/>
      <c r="AM536" s="371"/>
      <c r="AN536" s="371"/>
      <c r="AO536" s="371"/>
      <c r="AP536" s="371"/>
      <c r="AQ536" s="372"/>
      <c r="AU536" s="46"/>
      <c r="AV536" s="46"/>
      <c r="AW536" s="46"/>
    </row>
    <row r="537" spans="2:49" ht="13.5" hidden="1" customHeight="1" x14ac:dyDescent="0.2">
      <c r="B537" s="59"/>
      <c r="C537" s="59"/>
      <c r="D537" s="198"/>
      <c r="E537" s="191"/>
      <c r="F537" s="192"/>
      <c r="G537" s="199">
        <v>5</v>
      </c>
      <c r="H537" s="191"/>
      <c r="I537" s="191"/>
      <c r="J537" s="191"/>
      <c r="K537" s="191"/>
      <c r="L537" s="191"/>
      <c r="M537" s="191"/>
      <c r="N537" s="191"/>
      <c r="O537" s="192"/>
      <c r="P537" s="196"/>
      <c r="Q537" s="196"/>
      <c r="R537" s="197"/>
      <c r="S537" s="198"/>
      <c r="T537" s="191"/>
      <c r="U537" s="192"/>
      <c r="V537" s="199">
        <v>5</v>
      </c>
      <c r="W537" s="191"/>
      <c r="X537" s="191"/>
      <c r="Y537" s="191"/>
      <c r="Z537" s="191"/>
      <c r="AA537" s="191"/>
      <c r="AB537" s="191"/>
      <c r="AC537" s="191"/>
      <c r="AD537" s="192"/>
      <c r="AE537" s="196"/>
      <c r="AF537" s="196"/>
      <c r="AG537" s="87" t="s">
        <v>52</v>
      </c>
      <c r="AH537" s="55"/>
      <c r="AI537" s="55"/>
      <c r="AJ537" s="55"/>
      <c r="AK537" s="55"/>
      <c r="AL537" s="55"/>
      <c r="AM537" s="55"/>
      <c r="AN537" s="55"/>
      <c r="AO537" s="55" t="s">
        <v>53</v>
      </c>
      <c r="AP537" s="55"/>
      <c r="AQ537" s="64"/>
      <c r="AU537" s="46"/>
      <c r="AV537" s="46"/>
      <c r="AW537" s="46"/>
    </row>
    <row r="538" spans="2:49" ht="13.5" hidden="1" customHeight="1" x14ac:dyDescent="0.2">
      <c r="B538" s="59"/>
      <c r="C538" s="59"/>
      <c r="D538" s="198"/>
      <c r="E538" s="191"/>
      <c r="F538" s="192"/>
      <c r="G538" s="199">
        <v>6</v>
      </c>
      <c r="H538" s="191"/>
      <c r="I538" s="191"/>
      <c r="J538" s="191"/>
      <c r="K538" s="191"/>
      <c r="L538" s="191"/>
      <c r="M538" s="191"/>
      <c r="N538" s="191"/>
      <c r="O538" s="192"/>
      <c r="P538" s="196"/>
      <c r="Q538" s="196"/>
      <c r="R538" s="197"/>
      <c r="S538" s="198"/>
      <c r="T538" s="191"/>
      <c r="U538" s="192"/>
      <c r="V538" s="199">
        <v>6</v>
      </c>
      <c r="W538" s="191"/>
      <c r="X538" s="191"/>
      <c r="Y538" s="191"/>
      <c r="Z538" s="191"/>
      <c r="AA538" s="191"/>
      <c r="AB538" s="191"/>
      <c r="AC538" s="191"/>
      <c r="AD538" s="192"/>
      <c r="AE538" s="196"/>
      <c r="AF538" s="196"/>
      <c r="AG538" s="88"/>
      <c r="AH538" s="52"/>
      <c r="AI538" s="52"/>
      <c r="AJ538" s="52"/>
      <c r="AK538" s="52"/>
      <c r="AL538" s="52"/>
      <c r="AM538" s="52"/>
      <c r="AN538" s="52"/>
      <c r="AO538" s="52"/>
      <c r="AP538" s="52"/>
      <c r="AQ538" s="66"/>
      <c r="AU538" s="46"/>
      <c r="AV538" s="46"/>
      <c r="AW538" s="46"/>
    </row>
    <row r="539" spans="2:49" ht="13.5" hidden="1" customHeight="1" thickBot="1" x14ac:dyDescent="0.25">
      <c r="B539" s="59"/>
      <c r="C539" s="59"/>
      <c r="D539" s="198"/>
      <c r="E539" s="191"/>
      <c r="F539" s="192"/>
      <c r="G539" s="199">
        <v>7</v>
      </c>
      <c r="H539" s="191"/>
      <c r="I539" s="191"/>
      <c r="J539" s="191"/>
      <c r="K539" s="191"/>
      <c r="L539" s="191"/>
      <c r="M539" s="191"/>
      <c r="N539" s="191"/>
      <c r="O539" s="192"/>
      <c r="P539" s="196"/>
      <c r="Q539" s="196"/>
      <c r="R539" s="197"/>
      <c r="S539" s="198"/>
      <c r="T539" s="191"/>
      <c r="U539" s="192"/>
      <c r="V539" s="199">
        <v>7</v>
      </c>
      <c r="W539" s="191"/>
      <c r="X539" s="191"/>
      <c r="Y539" s="191"/>
      <c r="Z539" s="191"/>
      <c r="AA539" s="191"/>
      <c r="AB539" s="191"/>
      <c r="AC539" s="191"/>
      <c r="AD539" s="192"/>
      <c r="AE539" s="196"/>
      <c r="AF539" s="196"/>
      <c r="AG539" s="59" t="s">
        <v>54</v>
      </c>
      <c r="AH539" s="52"/>
      <c r="AI539" s="52"/>
      <c r="AJ539" s="52"/>
      <c r="AK539" s="52"/>
      <c r="AL539" s="52"/>
      <c r="AM539" s="52"/>
      <c r="AN539" s="52"/>
      <c r="AO539" s="52"/>
      <c r="AP539" s="52"/>
      <c r="AQ539" s="66"/>
      <c r="AU539" s="46"/>
      <c r="AV539" s="46"/>
      <c r="AW539" s="46"/>
    </row>
    <row r="540" spans="2:49" ht="13.5" hidden="1" customHeight="1" thickBot="1" x14ac:dyDescent="0.25">
      <c r="B540" s="59"/>
      <c r="C540" s="59"/>
      <c r="D540" s="204"/>
      <c r="E540" s="200"/>
      <c r="F540" s="201"/>
      <c r="G540" s="202">
        <v>8</v>
      </c>
      <c r="H540" s="200"/>
      <c r="I540" s="200"/>
      <c r="J540" s="200"/>
      <c r="K540" s="200"/>
      <c r="L540" s="200"/>
      <c r="M540" s="200"/>
      <c r="N540" s="200"/>
      <c r="O540" s="201"/>
      <c r="P540" s="203"/>
      <c r="Q540" s="203"/>
      <c r="R540" s="197"/>
      <c r="S540" s="204"/>
      <c r="T540" s="200"/>
      <c r="U540" s="201"/>
      <c r="V540" s="202">
        <v>8</v>
      </c>
      <c r="W540" s="200"/>
      <c r="X540" s="200"/>
      <c r="Y540" s="200"/>
      <c r="Z540" s="200"/>
      <c r="AA540" s="200"/>
      <c r="AB540" s="200"/>
      <c r="AC540" s="200"/>
      <c r="AD540" s="201"/>
      <c r="AE540" s="203"/>
      <c r="AF540" s="203"/>
      <c r="AG540" s="89" t="s">
        <v>55</v>
      </c>
      <c r="AH540" s="55"/>
      <c r="AI540" s="55"/>
      <c r="AJ540" s="55"/>
      <c r="AK540" s="55"/>
      <c r="AL540" s="55"/>
      <c r="AM540" s="55"/>
      <c r="AN540" s="55"/>
      <c r="AO540" s="55"/>
      <c r="AP540" s="55"/>
      <c r="AQ540" s="64"/>
      <c r="AU540" s="46"/>
      <c r="AV540" s="46"/>
      <c r="AW540" s="46"/>
    </row>
    <row r="541" spans="2:49" ht="13.5" hidden="1" customHeight="1" thickBot="1" x14ac:dyDescent="0.25">
      <c r="B541" s="59"/>
      <c r="C541" s="59"/>
      <c r="D541" s="74"/>
      <c r="E541" s="90"/>
      <c r="F541" s="90"/>
      <c r="G541" s="90"/>
      <c r="H541" s="90"/>
      <c r="I541" s="90"/>
      <c r="J541" s="91" t="s">
        <v>56</v>
      </c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  <c r="AA541" s="90"/>
      <c r="AB541" s="90"/>
      <c r="AC541" s="90"/>
      <c r="AD541" s="90"/>
      <c r="AE541" s="90"/>
      <c r="AF541" s="92"/>
      <c r="AG541" s="69" t="s">
        <v>57</v>
      </c>
      <c r="AH541" s="52"/>
      <c r="AI541" s="52"/>
      <c r="AJ541" s="52"/>
      <c r="AK541" s="52"/>
      <c r="AL541" s="52"/>
      <c r="AM541" s="52"/>
      <c r="AN541" s="52"/>
      <c r="AO541" s="52"/>
      <c r="AP541" s="52"/>
      <c r="AQ541" s="66"/>
      <c r="AU541" s="46"/>
      <c r="AV541" s="46"/>
      <c r="AW541" s="46"/>
    </row>
    <row r="542" spans="2:49" ht="13.5" hidden="1" customHeight="1" thickBot="1" x14ac:dyDescent="0.25">
      <c r="B542" s="59"/>
      <c r="C542" s="59"/>
      <c r="D542" s="93" t="s">
        <v>58</v>
      </c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2"/>
      <c r="S542" s="93" t="s">
        <v>59</v>
      </c>
      <c r="T542" s="90"/>
      <c r="U542" s="90"/>
      <c r="V542" s="90"/>
      <c r="W542" s="90"/>
      <c r="X542" s="90"/>
      <c r="Y542" s="90"/>
      <c r="Z542" s="90"/>
      <c r="AA542" s="90"/>
      <c r="AB542" s="90"/>
      <c r="AC542" s="90"/>
      <c r="AD542" s="90"/>
      <c r="AE542" s="90"/>
      <c r="AF542" s="92"/>
      <c r="AG542" s="94" t="s">
        <v>60</v>
      </c>
      <c r="AH542" s="95"/>
      <c r="AI542" s="95"/>
      <c r="AJ542" s="95"/>
      <c r="AK542" s="95"/>
      <c r="AL542" s="72"/>
      <c r="AM542" s="96" t="s">
        <v>61</v>
      </c>
      <c r="AN542" s="95"/>
      <c r="AO542" s="95"/>
      <c r="AP542" s="95"/>
      <c r="AQ542" s="72"/>
      <c r="AU542" s="46"/>
      <c r="AV542" s="46"/>
      <c r="AW542" s="46"/>
    </row>
    <row r="543" spans="2:49" ht="17.25" hidden="1" customHeight="1" thickBot="1" x14ac:dyDescent="0.25">
      <c r="B543" s="57"/>
      <c r="C543" s="57"/>
      <c r="D543" s="93" t="s">
        <v>62</v>
      </c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2"/>
      <c r="S543" s="93" t="s">
        <v>6</v>
      </c>
      <c r="T543" s="90"/>
      <c r="U543" s="90"/>
      <c r="V543" s="90"/>
      <c r="W543" s="90"/>
      <c r="X543" s="90"/>
      <c r="Y543" s="90"/>
      <c r="Z543" s="90"/>
      <c r="AA543" s="90"/>
      <c r="AB543" s="90"/>
      <c r="AC543" s="90"/>
      <c r="AD543" s="90"/>
      <c r="AE543" s="90"/>
      <c r="AF543" s="92"/>
      <c r="AG543" s="97" t="s">
        <v>63</v>
      </c>
      <c r="AH543" s="58"/>
      <c r="AI543" s="58"/>
      <c r="AJ543" s="58"/>
      <c r="AK543" s="58"/>
      <c r="AL543" s="72"/>
      <c r="AM543" s="98" t="s">
        <v>64</v>
      </c>
      <c r="AN543" s="58"/>
      <c r="AO543" s="58"/>
      <c r="AP543" s="58"/>
      <c r="AQ543" s="72"/>
      <c r="AU543" s="46"/>
      <c r="AV543" s="46"/>
      <c r="AW543" s="46"/>
    </row>
    <row r="544" spans="2:49" hidden="1" x14ac:dyDescent="0.2">
      <c r="AU544" s="46"/>
      <c r="AV544" s="46"/>
      <c r="AW544" s="46"/>
    </row>
    <row r="545" spans="2:49" ht="15.75" hidden="1" customHeight="1" thickBot="1" x14ac:dyDescent="0.25">
      <c r="AA545" s="52"/>
      <c r="AB545" s="52"/>
      <c r="AC545" s="52"/>
      <c r="AD545" s="52"/>
      <c r="AE545" s="52"/>
      <c r="AF545" s="52"/>
      <c r="AG545" s="52"/>
      <c r="AH545" s="52"/>
      <c r="AU545" s="46"/>
      <c r="AV545" s="46"/>
      <c r="AW545" s="46"/>
    </row>
    <row r="546" spans="2:49" ht="17.25" hidden="1" customHeight="1" x14ac:dyDescent="0.25">
      <c r="B546" s="53"/>
      <c r="C546" s="53"/>
      <c r="D546" s="54" t="s">
        <v>29</v>
      </c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6" t="s">
        <v>73</v>
      </c>
      <c r="Z546" s="55"/>
      <c r="AA546" s="55"/>
      <c r="AB546" s="55"/>
      <c r="AC546" s="55"/>
      <c r="AD546" s="55"/>
      <c r="AE546" s="55"/>
      <c r="AF546" s="55"/>
      <c r="AG546" s="55"/>
      <c r="AH546" s="433" t="s">
        <v>30</v>
      </c>
      <c r="AI546" s="434"/>
      <c r="AJ546" s="434"/>
      <c r="AK546" s="434"/>
      <c r="AL546" s="434"/>
      <c r="AM546" s="435" t="str">
        <f>IF(($AU$9+16)&gt;$AX$9,"",VLOOKUP($AU$9+16,Spielplan,3,0))</f>
        <v/>
      </c>
      <c r="AN546" s="435"/>
      <c r="AO546" s="435"/>
      <c r="AP546" s="435"/>
      <c r="AQ546" s="436"/>
      <c r="AU546" s="46"/>
      <c r="AV546" s="46"/>
      <c r="AW546" s="46"/>
    </row>
    <row r="547" spans="2:49" ht="0.75" hidden="1" customHeight="1" thickBot="1" x14ac:dyDescent="0.25">
      <c r="B547" s="57"/>
      <c r="C547" s="57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9"/>
      <c r="AI547" s="52"/>
      <c r="AJ547" s="52"/>
      <c r="AK547" s="52"/>
      <c r="AL547" s="52"/>
      <c r="AM547" s="60"/>
      <c r="AN547" s="60"/>
      <c r="AO547" s="60"/>
      <c r="AP547" s="60"/>
      <c r="AQ547" s="61"/>
      <c r="AU547" s="46"/>
      <c r="AV547" s="46"/>
      <c r="AW547" s="46"/>
    </row>
    <row r="548" spans="2:49" ht="15" hidden="1" x14ac:dyDescent="0.25">
      <c r="B548" s="53"/>
      <c r="C548" s="62"/>
      <c r="D548" s="53"/>
      <c r="E548" s="63" t="s">
        <v>6</v>
      </c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64"/>
      <c r="S548" s="437" t="s">
        <v>31</v>
      </c>
      <c r="T548" s="438"/>
      <c r="U548" s="438"/>
      <c r="V548" s="438"/>
      <c r="W548" s="438"/>
      <c r="X548" s="438"/>
      <c r="Y548" s="362" t="str">
        <f>IF(($AU$9+16)&gt;$AX$9,"","SHTV")</f>
        <v/>
      </c>
      <c r="Z548" s="362"/>
      <c r="AA548" s="362"/>
      <c r="AB548" s="362"/>
      <c r="AC548" s="362"/>
      <c r="AD548" s="362"/>
      <c r="AE548" s="362"/>
      <c r="AF548" s="362"/>
      <c r="AG548" s="362"/>
      <c r="AH548" s="416" t="s">
        <v>32</v>
      </c>
      <c r="AI548" s="417"/>
      <c r="AJ548" s="417"/>
      <c r="AK548" s="417"/>
      <c r="AL548" s="417"/>
      <c r="AM548" s="420" t="str">
        <f>IF(($AU$9+16)&gt;$AX$9,"",VLOOKUP($AU$9+16,Spielplan,4,0))</f>
        <v/>
      </c>
      <c r="AN548" s="421"/>
      <c r="AO548" s="421"/>
      <c r="AP548" s="421"/>
      <c r="AQ548" s="422"/>
      <c r="AU548" s="46"/>
      <c r="AV548" s="46"/>
      <c r="AW548" s="46"/>
    </row>
    <row r="549" spans="2:49" ht="9.9499999999999993" hidden="1" customHeight="1" x14ac:dyDescent="0.2">
      <c r="B549" s="59"/>
      <c r="C549" s="65"/>
      <c r="D549" s="59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66"/>
      <c r="S549" s="400"/>
      <c r="T549" s="399"/>
      <c r="U549" s="399"/>
      <c r="V549" s="399"/>
      <c r="W549" s="399"/>
      <c r="X549" s="399"/>
      <c r="Y549" s="402"/>
      <c r="Z549" s="402"/>
      <c r="AA549" s="402"/>
      <c r="AB549" s="402"/>
      <c r="AC549" s="402"/>
      <c r="AD549" s="402"/>
      <c r="AE549" s="402"/>
      <c r="AF549" s="402"/>
      <c r="AG549" s="402"/>
      <c r="AH549" s="418"/>
      <c r="AI549" s="419"/>
      <c r="AJ549" s="419"/>
      <c r="AK549" s="419"/>
      <c r="AL549" s="419"/>
      <c r="AM549" s="423"/>
      <c r="AN549" s="423"/>
      <c r="AO549" s="423"/>
      <c r="AP549" s="423"/>
      <c r="AQ549" s="424"/>
      <c r="AU549" s="46"/>
      <c r="AV549" s="46"/>
      <c r="AW549" s="46"/>
    </row>
    <row r="550" spans="2:49" ht="13.15" hidden="1" customHeight="1" x14ac:dyDescent="0.2">
      <c r="B550" s="59"/>
      <c r="C550" s="65"/>
      <c r="D550" s="59"/>
      <c r="E550" s="52" t="s">
        <v>33</v>
      </c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66"/>
      <c r="S550" s="398" t="s">
        <v>34</v>
      </c>
      <c r="T550" s="399"/>
      <c r="U550" s="399"/>
      <c r="V550" s="399"/>
      <c r="W550" s="399"/>
      <c r="X550" s="399"/>
      <c r="Y550" s="402" t="str">
        <f>IF(($AU$9+16)&gt;$AX$9,"",Platzierung!$U$3)</f>
        <v/>
      </c>
      <c r="Z550" s="402"/>
      <c r="AA550" s="402"/>
      <c r="AB550" s="402"/>
      <c r="AC550" s="402"/>
      <c r="AD550" s="402"/>
      <c r="AE550" s="402"/>
      <c r="AF550" s="402"/>
      <c r="AG550" s="402"/>
      <c r="AH550" s="416" t="s">
        <v>35</v>
      </c>
      <c r="AI550" s="417"/>
      <c r="AJ550" s="417"/>
      <c r="AK550" s="417"/>
      <c r="AL550" s="417"/>
      <c r="AM550" s="420" t="str">
        <f>IF(($AU$9+16)&gt;$AX$9,"",VLOOKUP($AU$9+16,Spielplan,6,0))</f>
        <v/>
      </c>
      <c r="AN550" s="421"/>
      <c r="AO550" s="421"/>
      <c r="AP550" s="421"/>
      <c r="AQ550" s="422"/>
      <c r="AU550" s="46"/>
      <c r="AV550" s="46"/>
      <c r="AW550" s="46"/>
    </row>
    <row r="551" spans="2:49" ht="9.9499999999999993" hidden="1" customHeight="1" x14ac:dyDescent="0.2">
      <c r="B551" s="59"/>
      <c r="C551" s="65"/>
      <c r="D551" s="59"/>
      <c r="E551" s="52"/>
      <c r="F551" s="52"/>
      <c r="G551" s="52"/>
      <c r="H551" s="52"/>
      <c r="I551" s="52"/>
      <c r="J551" s="67" t="s">
        <v>36</v>
      </c>
      <c r="K551" s="52"/>
      <c r="L551" s="52"/>
      <c r="M551" s="52"/>
      <c r="N551" s="52"/>
      <c r="O551" s="52"/>
      <c r="P551" s="52"/>
      <c r="Q551" s="52"/>
      <c r="R551" s="66"/>
      <c r="S551" s="400"/>
      <c r="T551" s="399"/>
      <c r="U551" s="399"/>
      <c r="V551" s="399"/>
      <c r="W551" s="399"/>
      <c r="X551" s="399"/>
      <c r="Y551" s="402"/>
      <c r="Z551" s="402"/>
      <c r="AA551" s="402"/>
      <c r="AB551" s="402"/>
      <c r="AC551" s="402"/>
      <c r="AD551" s="402"/>
      <c r="AE551" s="402"/>
      <c r="AF551" s="402"/>
      <c r="AG551" s="402"/>
      <c r="AH551" s="418"/>
      <c r="AI551" s="419"/>
      <c r="AJ551" s="419"/>
      <c r="AK551" s="419"/>
      <c r="AL551" s="419"/>
      <c r="AM551" s="423"/>
      <c r="AN551" s="423"/>
      <c r="AO551" s="423"/>
      <c r="AP551" s="423"/>
      <c r="AQ551" s="424"/>
      <c r="AU551" s="46"/>
      <c r="AV551" s="46"/>
      <c r="AW551" s="46"/>
    </row>
    <row r="552" spans="2:49" ht="15.75" hidden="1" customHeight="1" x14ac:dyDescent="0.2">
      <c r="B552" s="59"/>
      <c r="C552" s="65"/>
      <c r="D552" s="394" t="str">
        <f>IF(($AU$9+16)&gt;$AX$9,"",VLOOKUP($AU$9+16,Spielplan,10,0))</f>
        <v/>
      </c>
      <c r="E552" s="395"/>
      <c r="F552" s="395"/>
      <c r="G552" s="395"/>
      <c r="H552" s="395"/>
      <c r="I552" s="395"/>
      <c r="J552" s="395"/>
      <c r="K552" s="395"/>
      <c r="L552" s="395"/>
      <c r="M552" s="395"/>
      <c r="N552" s="395"/>
      <c r="O552" s="395"/>
      <c r="P552" s="395"/>
      <c r="Q552" s="395"/>
      <c r="R552" s="396"/>
      <c r="S552" s="398" t="s">
        <v>37</v>
      </c>
      <c r="T552" s="399"/>
      <c r="U552" s="399"/>
      <c r="V552" s="399"/>
      <c r="W552" s="399"/>
      <c r="X552" s="399"/>
      <c r="Y552" s="401" t="str">
        <f>IF(($AU$9+16)&gt;$AX$9,"",VLOOKUP($AU$9+16,Spielplan,2,0))</f>
        <v/>
      </c>
      <c r="Z552" s="402"/>
      <c r="AA552" s="402"/>
      <c r="AB552" s="402"/>
      <c r="AC552" s="402"/>
      <c r="AD552" s="402"/>
      <c r="AE552" s="402"/>
      <c r="AF552" s="402"/>
      <c r="AG552" s="402"/>
      <c r="AH552" s="403" t="s">
        <v>38</v>
      </c>
      <c r="AI552" s="399"/>
      <c r="AJ552" s="399"/>
      <c r="AK552" s="399"/>
      <c r="AL552" s="399"/>
      <c r="AM552" s="425" t="str">
        <f>IF(($AU$9+16)&gt;$AX$9,"",VLOOKUP($AU$9+16,Spielplan,5,0))</f>
        <v/>
      </c>
      <c r="AN552" s="426"/>
      <c r="AO552" s="426"/>
      <c r="AP552" s="426"/>
      <c r="AQ552" s="427"/>
      <c r="AU552" s="46"/>
      <c r="AV552" s="46"/>
      <c r="AW552" s="46"/>
    </row>
    <row r="553" spans="2:49" ht="11.1" hidden="1" customHeight="1" thickBot="1" x14ac:dyDescent="0.25">
      <c r="B553" s="59"/>
      <c r="C553" s="65"/>
      <c r="D553" s="397"/>
      <c r="E553" s="395"/>
      <c r="F553" s="395"/>
      <c r="G553" s="395"/>
      <c r="H553" s="395"/>
      <c r="I553" s="395"/>
      <c r="J553" s="395"/>
      <c r="K553" s="395"/>
      <c r="L553" s="395"/>
      <c r="M553" s="395"/>
      <c r="N553" s="395"/>
      <c r="O553" s="395"/>
      <c r="P553" s="395"/>
      <c r="Q553" s="395"/>
      <c r="R553" s="396"/>
      <c r="S553" s="400"/>
      <c r="T553" s="399"/>
      <c r="U553" s="399"/>
      <c r="V553" s="399"/>
      <c r="W553" s="399"/>
      <c r="X553" s="399"/>
      <c r="Y553" s="402"/>
      <c r="Z553" s="402"/>
      <c r="AA553" s="402"/>
      <c r="AB553" s="402"/>
      <c r="AC553" s="402"/>
      <c r="AD553" s="402"/>
      <c r="AE553" s="402"/>
      <c r="AF553" s="402"/>
      <c r="AG553" s="402"/>
      <c r="AH553" s="404"/>
      <c r="AI553" s="405"/>
      <c r="AJ553" s="405"/>
      <c r="AK553" s="405"/>
      <c r="AL553" s="405"/>
      <c r="AM553" s="428"/>
      <c r="AN553" s="428"/>
      <c r="AO553" s="428"/>
      <c r="AP553" s="428"/>
      <c r="AQ553" s="429"/>
      <c r="AU553" s="46"/>
      <c r="AV553" s="46"/>
      <c r="AW553" s="46"/>
    </row>
    <row r="554" spans="2:49" ht="11.1" hidden="1" customHeight="1" thickBot="1" x14ac:dyDescent="0.25">
      <c r="B554" s="59"/>
      <c r="C554" s="65"/>
      <c r="D554" s="57"/>
      <c r="E554" s="58"/>
      <c r="F554" s="58"/>
      <c r="G554" s="58"/>
      <c r="H554" s="58"/>
      <c r="I554" s="58"/>
      <c r="J554" s="58" t="s">
        <v>39</v>
      </c>
      <c r="K554" s="58"/>
      <c r="L554" s="58"/>
      <c r="M554" s="58"/>
      <c r="N554" s="58"/>
      <c r="O554" s="52"/>
      <c r="P554" s="52"/>
      <c r="Q554" s="58"/>
      <c r="R554" s="68"/>
      <c r="S554" s="59"/>
      <c r="T554" s="52"/>
      <c r="U554" s="52"/>
      <c r="V554" s="52"/>
      <c r="W554" s="52"/>
      <c r="X554" s="52"/>
      <c r="Y554" s="430"/>
      <c r="Z554" s="430"/>
      <c r="AA554" s="430"/>
      <c r="AB554" s="430"/>
      <c r="AC554" s="430"/>
      <c r="AD554" s="430"/>
      <c r="AE554" s="430"/>
      <c r="AF554" s="431"/>
      <c r="AG554" s="432"/>
      <c r="AH554" s="69" t="s">
        <v>40</v>
      </c>
      <c r="AI554" s="52"/>
      <c r="AJ554" s="52"/>
      <c r="AK554" s="52"/>
      <c r="AL554" s="52"/>
      <c r="AM554" s="52"/>
      <c r="AN554" s="52"/>
      <c r="AO554" s="70"/>
      <c r="AP554" s="52"/>
      <c r="AQ554" s="66"/>
      <c r="AU554" s="46"/>
      <c r="AV554" s="46"/>
      <c r="AW554" s="46"/>
    </row>
    <row r="555" spans="2:49" ht="13.5" hidden="1" customHeight="1" thickBot="1" x14ac:dyDescent="0.3">
      <c r="B555" s="59"/>
      <c r="C555" s="65"/>
      <c r="D555" s="53"/>
      <c r="E555" s="63" t="s">
        <v>8</v>
      </c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388" t="s">
        <v>41</v>
      </c>
      <c r="R555" s="53"/>
      <c r="S555" s="53"/>
      <c r="T555" s="63" t="s">
        <v>7</v>
      </c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64"/>
      <c r="AF555" s="391" t="s">
        <v>41</v>
      </c>
      <c r="AG555" s="59"/>
      <c r="AH555" s="71" t="s">
        <v>42</v>
      </c>
      <c r="AI555" s="58"/>
      <c r="AJ555" s="58"/>
      <c r="AK555" s="58"/>
      <c r="AL555" s="58"/>
      <c r="AM555" s="58"/>
      <c r="AN555" s="58"/>
      <c r="AO555" s="72"/>
      <c r="AP555" s="52"/>
      <c r="AQ555" s="66"/>
      <c r="AU555" s="46"/>
      <c r="AV555" s="46"/>
      <c r="AW555" s="46"/>
    </row>
    <row r="556" spans="2:49" ht="12" hidden="1" customHeight="1" thickBot="1" x14ac:dyDescent="0.25">
      <c r="B556" s="59"/>
      <c r="C556" s="65"/>
      <c r="D556" s="394" t="str">
        <f>IF(($AU$9+16)&gt;$AX$9,"",VLOOKUP($AU$9+16,Spielplan,7,0))</f>
        <v/>
      </c>
      <c r="E556" s="395"/>
      <c r="F556" s="395"/>
      <c r="G556" s="395"/>
      <c r="H556" s="395"/>
      <c r="I556" s="395"/>
      <c r="J556" s="395"/>
      <c r="K556" s="395"/>
      <c r="L556" s="395"/>
      <c r="M556" s="395"/>
      <c r="N556" s="395"/>
      <c r="O556" s="395"/>
      <c r="P556" s="396"/>
      <c r="Q556" s="389"/>
      <c r="R556" s="59"/>
      <c r="S556" s="394" t="str">
        <f>IF(($AU$9+16)&gt;$AX$9,"",VLOOKUP($AU$9+16,Spielplan,9,0))</f>
        <v/>
      </c>
      <c r="T556" s="395"/>
      <c r="U556" s="395"/>
      <c r="V556" s="395"/>
      <c r="W556" s="395"/>
      <c r="X556" s="395"/>
      <c r="Y556" s="395"/>
      <c r="Z556" s="395"/>
      <c r="AA556" s="395"/>
      <c r="AB556" s="395"/>
      <c r="AC556" s="395"/>
      <c r="AD556" s="395"/>
      <c r="AE556" s="409"/>
      <c r="AF556" s="392"/>
      <c r="AG556" s="59"/>
      <c r="AH556" s="410" t="s">
        <v>43</v>
      </c>
      <c r="AI556" s="411"/>
      <c r="AJ556" s="411"/>
      <c r="AK556" s="411"/>
      <c r="AL556" s="411"/>
      <c r="AM556" s="412"/>
      <c r="AN556" s="73" t="s">
        <v>44</v>
      </c>
      <c r="AO556" s="74"/>
      <c r="AP556" s="74"/>
      <c r="AQ556" s="72"/>
      <c r="AU556" s="46"/>
      <c r="AV556" s="46"/>
      <c r="AW556" s="46"/>
    </row>
    <row r="557" spans="2:49" ht="12" hidden="1" customHeight="1" thickBot="1" x14ac:dyDescent="0.25">
      <c r="B557" s="57"/>
      <c r="C557" s="70"/>
      <c r="D557" s="406"/>
      <c r="E557" s="407"/>
      <c r="F557" s="407"/>
      <c r="G557" s="407"/>
      <c r="H557" s="407"/>
      <c r="I557" s="407"/>
      <c r="J557" s="407"/>
      <c r="K557" s="407"/>
      <c r="L557" s="407"/>
      <c r="M557" s="407"/>
      <c r="N557" s="407"/>
      <c r="O557" s="407"/>
      <c r="P557" s="408"/>
      <c r="Q557" s="390"/>
      <c r="R557" s="57"/>
      <c r="S557" s="406"/>
      <c r="T557" s="407"/>
      <c r="U557" s="407"/>
      <c r="V557" s="407"/>
      <c r="W557" s="407"/>
      <c r="X557" s="407"/>
      <c r="Y557" s="407"/>
      <c r="Z557" s="407"/>
      <c r="AA557" s="407"/>
      <c r="AB557" s="407"/>
      <c r="AC557" s="407"/>
      <c r="AD557" s="407"/>
      <c r="AE557" s="385"/>
      <c r="AF557" s="393"/>
      <c r="AG557" s="57"/>
      <c r="AH557" s="413"/>
      <c r="AI557" s="414"/>
      <c r="AJ557" s="414"/>
      <c r="AK557" s="414"/>
      <c r="AL557" s="414"/>
      <c r="AM557" s="415"/>
      <c r="AN557" s="73" t="s">
        <v>45</v>
      </c>
      <c r="AO557" s="74"/>
      <c r="AP557" s="74"/>
      <c r="AQ557" s="72"/>
      <c r="AU557" s="46"/>
      <c r="AV557" s="46"/>
      <c r="AW557" s="46"/>
    </row>
    <row r="558" spans="2:49" ht="9.9499999999999993" hidden="1" customHeight="1" thickBot="1" x14ac:dyDescent="0.25">
      <c r="B558" s="59"/>
      <c r="C558" s="59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66"/>
      <c r="AU558" s="46"/>
      <c r="AV558" s="46"/>
      <c r="AW558" s="46"/>
    </row>
    <row r="559" spans="2:49" hidden="1" x14ac:dyDescent="0.2">
      <c r="B559" s="53"/>
      <c r="C559" s="62" t="s">
        <v>44</v>
      </c>
      <c r="D559" s="75"/>
      <c r="E559" s="76"/>
      <c r="F559" s="76"/>
      <c r="G559" s="76"/>
      <c r="H559" s="77"/>
      <c r="I559" s="75"/>
      <c r="J559" s="76"/>
      <c r="K559" s="76"/>
      <c r="L559" s="76"/>
      <c r="M559" s="77"/>
      <c r="N559" s="75"/>
      <c r="O559" s="76"/>
      <c r="P559" s="76"/>
      <c r="Q559" s="76"/>
      <c r="R559" s="77"/>
      <c r="S559" s="75"/>
      <c r="T559" s="76"/>
      <c r="U559" s="76"/>
      <c r="V559" s="76"/>
      <c r="W559" s="77"/>
      <c r="X559" s="75"/>
      <c r="Y559" s="76"/>
      <c r="Z559" s="76"/>
      <c r="AA559" s="76"/>
      <c r="AB559" s="77"/>
      <c r="AC559" s="75"/>
      <c r="AD559" s="76"/>
      <c r="AE559" s="76"/>
      <c r="AF559" s="76"/>
      <c r="AG559" s="77"/>
      <c r="AH559" s="75"/>
      <c r="AI559" s="76"/>
      <c r="AJ559" s="76"/>
      <c r="AK559" s="76"/>
      <c r="AL559" s="76"/>
      <c r="AM559" s="188" t="s">
        <v>44</v>
      </c>
      <c r="AN559" s="386"/>
      <c r="AO559" s="386"/>
      <c r="AP559" s="386"/>
      <c r="AQ559" s="387"/>
      <c r="AU559" s="46"/>
      <c r="AV559" s="46"/>
      <c r="AW559" s="46"/>
    </row>
    <row r="560" spans="2:49" ht="13.5" hidden="1" thickBot="1" x14ac:dyDescent="0.25">
      <c r="B560" s="57"/>
      <c r="C560" s="70" t="s">
        <v>45</v>
      </c>
      <c r="D560" s="57"/>
      <c r="E560" s="78"/>
      <c r="F560" s="78"/>
      <c r="G560" s="78"/>
      <c r="H560" s="79"/>
      <c r="I560" s="57"/>
      <c r="J560" s="78"/>
      <c r="K560" s="78"/>
      <c r="L560" s="78"/>
      <c r="M560" s="79"/>
      <c r="N560" s="57"/>
      <c r="O560" s="78"/>
      <c r="P560" s="78"/>
      <c r="Q560" s="78"/>
      <c r="R560" s="79"/>
      <c r="S560" s="57"/>
      <c r="T560" s="78"/>
      <c r="U560" s="78"/>
      <c r="V560" s="78"/>
      <c r="W560" s="79"/>
      <c r="X560" s="57"/>
      <c r="Y560" s="78"/>
      <c r="Z560" s="78"/>
      <c r="AA560" s="78"/>
      <c r="AB560" s="79"/>
      <c r="AC560" s="57"/>
      <c r="AD560" s="78"/>
      <c r="AE560" s="78"/>
      <c r="AF560" s="78"/>
      <c r="AG560" s="79"/>
      <c r="AH560" s="57"/>
      <c r="AI560" s="78"/>
      <c r="AJ560" s="78"/>
      <c r="AK560" s="78"/>
      <c r="AL560" s="78"/>
      <c r="AM560" s="190" t="s">
        <v>45</v>
      </c>
      <c r="AN560" s="323"/>
      <c r="AO560" s="323"/>
      <c r="AP560" s="323"/>
      <c r="AQ560" s="324"/>
      <c r="AU560" s="46"/>
      <c r="AV560" s="46"/>
      <c r="AW560" s="46"/>
    </row>
    <row r="561" spans="2:49" hidden="1" x14ac:dyDescent="0.2">
      <c r="B561" s="53"/>
      <c r="C561" s="62" t="s">
        <v>44</v>
      </c>
      <c r="D561" s="75"/>
      <c r="E561" s="76"/>
      <c r="F561" s="76"/>
      <c r="G561" s="76"/>
      <c r="H561" s="77"/>
      <c r="I561" s="75"/>
      <c r="J561" s="76"/>
      <c r="K561" s="76"/>
      <c r="L561" s="76"/>
      <c r="M561" s="77"/>
      <c r="N561" s="75"/>
      <c r="O561" s="76"/>
      <c r="P561" s="76"/>
      <c r="Q561" s="76"/>
      <c r="R561" s="77"/>
      <c r="S561" s="75"/>
      <c r="T561" s="76"/>
      <c r="U561" s="76"/>
      <c r="V561" s="76"/>
      <c r="W561" s="77"/>
      <c r="X561" s="75"/>
      <c r="Y561" s="76"/>
      <c r="Z561" s="76"/>
      <c r="AA561" s="76"/>
      <c r="AB561" s="77"/>
      <c r="AC561" s="75"/>
      <c r="AD561" s="76"/>
      <c r="AE561" s="76"/>
      <c r="AF561" s="76"/>
      <c r="AG561" s="77"/>
      <c r="AH561" s="75"/>
      <c r="AI561" s="76"/>
      <c r="AJ561" s="76"/>
      <c r="AK561" s="76"/>
      <c r="AL561" s="76"/>
      <c r="AM561" s="188" t="s">
        <v>44</v>
      </c>
      <c r="AN561" s="386"/>
      <c r="AO561" s="386"/>
      <c r="AP561" s="386"/>
      <c r="AQ561" s="387"/>
      <c r="AU561" s="46"/>
      <c r="AV561" s="46"/>
      <c r="AW561" s="46"/>
    </row>
    <row r="562" spans="2:49" ht="13.5" hidden="1" thickBot="1" x14ac:dyDescent="0.25">
      <c r="B562" s="57"/>
      <c r="C562" s="70" t="s">
        <v>45</v>
      </c>
      <c r="D562" s="57"/>
      <c r="E562" s="78"/>
      <c r="F562" s="78"/>
      <c r="G562" s="78"/>
      <c r="H562" s="79"/>
      <c r="I562" s="57"/>
      <c r="J562" s="78"/>
      <c r="K562" s="78"/>
      <c r="L562" s="78"/>
      <c r="M562" s="79"/>
      <c r="N562" s="57"/>
      <c r="O562" s="78"/>
      <c r="P562" s="78"/>
      <c r="Q562" s="78"/>
      <c r="R562" s="79"/>
      <c r="S562" s="57"/>
      <c r="T562" s="78"/>
      <c r="U562" s="78"/>
      <c r="V562" s="78"/>
      <c r="W562" s="79"/>
      <c r="X562" s="57"/>
      <c r="Y562" s="78"/>
      <c r="Z562" s="78"/>
      <c r="AA562" s="78"/>
      <c r="AB562" s="79"/>
      <c r="AC562" s="57"/>
      <c r="AD562" s="78"/>
      <c r="AE562" s="78"/>
      <c r="AF562" s="78"/>
      <c r="AG562" s="79"/>
      <c r="AH562" s="57"/>
      <c r="AI562" s="78"/>
      <c r="AJ562" s="78"/>
      <c r="AK562" s="78"/>
      <c r="AL562" s="78"/>
      <c r="AM562" s="189" t="s">
        <v>45</v>
      </c>
      <c r="AN562" s="338"/>
      <c r="AO562" s="338"/>
      <c r="AP562" s="338"/>
      <c r="AQ562" s="339"/>
      <c r="AU562" s="46"/>
      <c r="AV562" s="46"/>
      <c r="AW562" s="46"/>
    </row>
    <row r="563" spans="2:49" hidden="1" x14ac:dyDescent="0.2">
      <c r="B563" s="53"/>
      <c r="C563" s="62" t="s">
        <v>44</v>
      </c>
      <c r="D563" s="75"/>
      <c r="E563" s="76"/>
      <c r="F563" s="76"/>
      <c r="G563" s="76"/>
      <c r="H563" s="77"/>
      <c r="I563" s="75"/>
      <c r="J563" s="76"/>
      <c r="K563" s="76"/>
      <c r="L563" s="76"/>
      <c r="M563" s="77"/>
      <c r="N563" s="75"/>
      <c r="O563" s="76"/>
      <c r="P563" s="76"/>
      <c r="Q563" s="76"/>
      <c r="R563" s="77"/>
      <c r="S563" s="75"/>
      <c r="T563" s="76"/>
      <c r="U563" s="76"/>
      <c r="V563" s="76"/>
      <c r="W563" s="77"/>
      <c r="X563" s="75"/>
      <c r="Y563" s="76"/>
      <c r="Z563" s="76"/>
      <c r="AA563" s="76"/>
      <c r="AB563" s="77"/>
      <c r="AC563" s="75"/>
      <c r="AD563" s="76"/>
      <c r="AE563" s="76"/>
      <c r="AF563" s="76"/>
      <c r="AG563" s="77"/>
      <c r="AH563" s="75"/>
      <c r="AI563" s="76"/>
      <c r="AJ563" s="76"/>
      <c r="AK563" s="76"/>
      <c r="AL563" s="76"/>
      <c r="AM563" s="188" t="s">
        <v>44</v>
      </c>
      <c r="AN563" s="386"/>
      <c r="AO563" s="386"/>
      <c r="AP563" s="386"/>
      <c r="AQ563" s="387"/>
      <c r="AU563" s="46"/>
      <c r="AV563" s="46"/>
      <c r="AW563" s="46"/>
    </row>
    <row r="564" spans="2:49" ht="13.5" hidden="1" thickBot="1" x14ac:dyDescent="0.25">
      <c r="B564" s="57"/>
      <c r="C564" s="70" t="s">
        <v>45</v>
      </c>
      <c r="D564" s="57"/>
      <c r="E564" s="78"/>
      <c r="F564" s="78"/>
      <c r="G564" s="78"/>
      <c r="H564" s="79"/>
      <c r="I564" s="57"/>
      <c r="J564" s="78"/>
      <c r="K564" s="78"/>
      <c r="L564" s="78"/>
      <c r="M564" s="79"/>
      <c r="N564" s="57"/>
      <c r="O564" s="78"/>
      <c r="P564" s="78"/>
      <c r="Q564" s="78"/>
      <c r="R564" s="79"/>
      <c r="S564" s="57"/>
      <c r="T564" s="78"/>
      <c r="U564" s="78"/>
      <c r="V564" s="78"/>
      <c r="W564" s="79"/>
      <c r="X564" s="57"/>
      <c r="Y564" s="78"/>
      <c r="Z564" s="78"/>
      <c r="AA564" s="78"/>
      <c r="AB564" s="79"/>
      <c r="AC564" s="57"/>
      <c r="AD564" s="78"/>
      <c r="AE564" s="78"/>
      <c r="AF564" s="78"/>
      <c r="AG564" s="79"/>
      <c r="AH564" s="57"/>
      <c r="AI564" s="78"/>
      <c r="AJ564" s="78"/>
      <c r="AK564" s="78"/>
      <c r="AL564" s="78"/>
      <c r="AM564" s="189" t="s">
        <v>45</v>
      </c>
      <c r="AN564" s="338"/>
      <c r="AO564" s="338"/>
      <c r="AP564" s="338"/>
      <c r="AQ564" s="339"/>
      <c r="AU564" s="46"/>
      <c r="AV564" s="46"/>
      <c r="AW564" s="46"/>
    </row>
    <row r="565" spans="2:49" ht="9.9499999999999993" hidden="1" customHeight="1" x14ac:dyDescent="0.2">
      <c r="B565" s="59"/>
      <c r="C565" s="59"/>
      <c r="D565" s="374" t="s">
        <v>46</v>
      </c>
      <c r="E565" s="375"/>
      <c r="F565" s="376"/>
      <c r="G565" s="380" t="s">
        <v>47</v>
      </c>
      <c r="H565" s="381"/>
      <c r="I565" s="381"/>
      <c r="J565" s="381"/>
      <c r="K565" s="381"/>
      <c r="L565" s="381"/>
      <c r="M565" s="381"/>
      <c r="N565" s="381"/>
      <c r="O565" s="382"/>
      <c r="P565" s="359" t="s">
        <v>41</v>
      </c>
      <c r="Q565" s="359" t="s">
        <v>48</v>
      </c>
      <c r="R565" s="52"/>
      <c r="S565" s="374" t="s">
        <v>46</v>
      </c>
      <c r="T565" s="375"/>
      <c r="U565" s="376"/>
      <c r="V565" s="380" t="s">
        <v>47</v>
      </c>
      <c r="W565" s="381"/>
      <c r="X565" s="381"/>
      <c r="Y565" s="381"/>
      <c r="Z565" s="381"/>
      <c r="AA565" s="381"/>
      <c r="AB565" s="381"/>
      <c r="AC565" s="381"/>
      <c r="AD565" s="382"/>
      <c r="AE565" s="359" t="s">
        <v>41</v>
      </c>
      <c r="AF565" s="359" t="s">
        <v>48</v>
      </c>
      <c r="AG565" s="80"/>
      <c r="AH565" s="81"/>
      <c r="AI565" s="81"/>
      <c r="AJ565" s="81"/>
      <c r="AK565" s="81"/>
      <c r="AL565" s="81"/>
      <c r="AM565" s="99"/>
      <c r="AN565" s="373" t="s">
        <v>1</v>
      </c>
      <c r="AO565" s="373"/>
      <c r="AP565" s="373" t="s">
        <v>2</v>
      </c>
      <c r="AQ565" s="373"/>
      <c r="AR565" s="82"/>
      <c r="AU565" s="46"/>
      <c r="AV565" s="46"/>
      <c r="AW565" s="46"/>
    </row>
    <row r="566" spans="2:49" ht="13.5" hidden="1" thickBot="1" x14ac:dyDescent="0.25">
      <c r="B566" s="59"/>
      <c r="C566" s="59"/>
      <c r="D566" s="377"/>
      <c r="E566" s="378"/>
      <c r="F566" s="379"/>
      <c r="G566" s="383"/>
      <c r="H566" s="384"/>
      <c r="I566" s="384"/>
      <c r="J566" s="384"/>
      <c r="K566" s="384"/>
      <c r="L566" s="384"/>
      <c r="M566" s="384"/>
      <c r="N566" s="384"/>
      <c r="O566" s="385"/>
      <c r="P566" s="360"/>
      <c r="Q566" s="360"/>
      <c r="R566" s="52"/>
      <c r="S566" s="377"/>
      <c r="T566" s="378"/>
      <c r="U566" s="379"/>
      <c r="V566" s="383"/>
      <c r="W566" s="384"/>
      <c r="X566" s="384"/>
      <c r="Y566" s="384"/>
      <c r="Z566" s="384"/>
      <c r="AA566" s="384"/>
      <c r="AB566" s="384"/>
      <c r="AC566" s="384"/>
      <c r="AD566" s="385"/>
      <c r="AE566" s="360"/>
      <c r="AF566" s="360"/>
      <c r="AG566" s="83"/>
      <c r="AH566" s="52"/>
      <c r="AI566" s="84" t="s">
        <v>49</v>
      </c>
      <c r="AJ566" s="84"/>
      <c r="AK566" s="84"/>
      <c r="AL566" s="84"/>
      <c r="AM566" s="84"/>
      <c r="AN566" s="84"/>
      <c r="AO566" s="85"/>
      <c r="AP566" s="85"/>
      <c r="AQ566" s="86"/>
      <c r="AR566" s="82"/>
      <c r="AU566" s="46"/>
      <c r="AV566" s="46"/>
      <c r="AW566" s="46"/>
    </row>
    <row r="567" spans="2:49" ht="13.5" hidden="1" customHeight="1" x14ac:dyDescent="0.2">
      <c r="B567" s="59"/>
      <c r="C567" s="59"/>
      <c r="D567" s="198"/>
      <c r="E567" s="191"/>
      <c r="F567" s="192"/>
      <c r="G567" s="193" t="s">
        <v>50</v>
      </c>
      <c r="H567" s="194"/>
      <c r="I567" s="194"/>
      <c r="J567" s="194"/>
      <c r="K567" s="194"/>
      <c r="L567" s="194"/>
      <c r="M567" s="194"/>
      <c r="N567" s="194"/>
      <c r="O567" s="195"/>
      <c r="P567" s="196"/>
      <c r="Q567" s="196"/>
      <c r="R567" s="197"/>
      <c r="S567" s="198"/>
      <c r="T567" s="191"/>
      <c r="U567" s="192"/>
      <c r="V567" s="193" t="s">
        <v>50</v>
      </c>
      <c r="W567" s="194"/>
      <c r="X567" s="194"/>
      <c r="Y567" s="194"/>
      <c r="Z567" s="194"/>
      <c r="AA567" s="194"/>
      <c r="AB567" s="194"/>
      <c r="AC567" s="194"/>
      <c r="AD567" s="195"/>
      <c r="AE567" s="196"/>
      <c r="AF567" s="196"/>
      <c r="AG567" s="361" t="s">
        <v>68</v>
      </c>
      <c r="AH567" s="362"/>
      <c r="AI567" s="362"/>
      <c r="AJ567" s="363"/>
      <c r="AK567" s="367" t="s">
        <v>51</v>
      </c>
      <c r="AL567" s="368"/>
      <c r="AM567" s="368"/>
      <c r="AN567" s="368"/>
      <c r="AO567" s="368"/>
      <c r="AP567" s="368"/>
      <c r="AQ567" s="369"/>
      <c r="AU567" s="46"/>
      <c r="AV567" s="46"/>
      <c r="AW567" s="46"/>
    </row>
    <row r="568" spans="2:49" ht="13.5" hidden="1" customHeight="1" thickBot="1" x14ac:dyDescent="0.25">
      <c r="B568" s="59"/>
      <c r="C568" s="59"/>
      <c r="D568" s="198"/>
      <c r="E568" s="191"/>
      <c r="F568" s="192"/>
      <c r="G568" s="199">
        <v>2</v>
      </c>
      <c r="H568" s="191"/>
      <c r="I568" s="191"/>
      <c r="J568" s="191"/>
      <c r="K568" s="191"/>
      <c r="L568" s="191"/>
      <c r="M568" s="191"/>
      <c r="N568" s="191"/>
      <c r="O568" s="192"/>
      <c r="P568" s="196"/>
      <c r="Q568" s="196"/>
      <c r="R568" s="197"/>
      <c r="S568" s="198"/>
      <c r="T568" s="191"/>
      <c r="U568" s="192"/>
      <c r="V568" s="199">
        <v>2</v>
      </c>
      <c r="W568" s="191"/>
      <c r="X568" s="191"/>
      <c r="Y568" s="191"/>
      <c r="Z568" s="191"/>
      <c r="AA568" s="191"/>
      <c r="AB568" s="191"/>
      <c r="AC568" s="191"/>
      <c r="AD568" s="192"/>
      <c r="AE568" s="196"/>
      <c r="AF568" s="196"/>
      <c r="AG568" s="364"/>
      <c r="AH568" s="365"/>
      <c r="AI568" s="365"/>
      <c r="AJ568" s="366"/>
      <c r="AK568" s="370"/>
      <c r="AL568" s="371"/>
      <c r="AM568" s="371"/>
      <c r="AN568" s="371"/>
      <c r="AO568" s="371"/>
      <c r="AP568" s="371"/>
      <c r="AQ568" s="372"/>
      <c r="AU568" s="46"/>
      <c r="AV568" s="46"/>
      <c r="AW568" s="46"/>
    </row>
    <row r="569" spans="2:49" ht="13.5" hidden="1" customHeight="1" x14ac:dyDescent="0.2">
      <c r="B569" s="59"/>
      <c r="C569" s="59"/>
      <c r="D569" s="198"/>
      <c r="E569" s="191"/>
      <c r="F569" s="192"/>
      <c r="G569" s="199">
        <v>3</v>
      </c>
      <c r="H569" s="191"/>
      <c r="I569" s="191"/>
      <c r="J569" s="191"/>
      <c r="K569" s="191"/>
      <c r="L569" s="191"/>
      <c r="M569" s="191"/>
      <c r="N569" s="191"/>
      <c r="O569" s="192"/>
      <c r="P569" s="196"/>
      <c r="Q569" s="196"/>
      <c r="R569" s="197"/>
      <c r="S569" s="198"/>
      <c r="T569" s="191"/>
      <c r="U569" s="192"/>
      <c r="V569" s="199">
        <v>3</v>
      </c>
      <c r="W569" s="191"/>
      <c r="X569" s="191"/>
      <c r="Y569" s="191"/>
      <c r="Z569" s="191"/>
      <c r="AA569" s="191"/>
      <c r="AB569" s="191"/>
      <c r="AC569" s="191"/>
      <c r="AD569" s="192"/>
      <c r="AE569" s="196"/>
      <c r="AF569" s="196"/>
      <c r="AG569" s="361" t="s">
        <v>2</v>
      </c>
      <c r="AH569" s="362"/>
      <c r="AI569" s="362"/>
      <c r="AJ569" s="363"/>
      <c r="AK569" s="367" t="s">
        <v>51</v>
      </c>
      <c r="AL569" s="368"/>
      <c r="AM569" s="368"/>
      <c r="AN569" s="368"/>
      <c r="AO569" s="368"/>
      <c r="AP569" s="368"/>
      <c r="AQ569" s="369"/>
      <c r="AU569" s="46"/>
      <c r="AV569" s="46"/>
      <c r="AW569" s="46"/>
    </row>
    <row r="570" spans="2:49" ht="13.5" hidden="1" customHeight="1" thickBot="1" x14ac:dyDescent="0.25">
      <c r="B570" s="59"/>
      <c r="C570" s="59"/>
      <c r="D570" s="198"/>
      <c r="E570" s="191"/>
      <c r="F570" s="192"/>
      <c r="G570" s="199">
        <v>4</v>
      </c>
      <c r="H570" s="191"/>
      <c r="I570" s="191"/>
      <c r="J570" s="191"/>
      <c r="K570" s="191"/>
      <c r="L570" s="191"/>
      <c r="M570" s="191"/>
      <c r="N570" s="191"/>
      <c r="O570" s="192"/>
      <c r="P570" s="196"/>
      <c r="Q570" s="196"/>
      <c r="R570" s="197"/>
      <c r="S570" s="198"/>
      <c r="T570" s="191"/>
      <c r="U570" s="192"/>
      <c r="V570" s="199">
        <v>4</v>
      </c>
      <c r="W570" s="191"/>
      <c r="X570" s="191"/>
      <c r="Y570" s="191"/>
      <c r="Z570" s="191"/>
      <c r="AA570" s="191"/>
      <c r="AB570" s="191"/>
      <c r="AC570" s="191"/>
      <c r="AD570" s="192"/>
      <c r="AE570" s="196"/>
      <c r="AF570" s="196"/>
      <c r="AG570" s="364"/>
      <c r="AH570" s="365"/>
      <c r="AI570" s="365"/>
      <c r="AJ570" s="366"/>
      <c r="AK570" s="370"/>
      <c r="AL570" s="371"/>
      <c r="AM570" s="371"/>
      <c r="AN570" s="371"/>
      <c r="AO570" s="371"/>
      <c r="AP570" s="371"/>
      <c r="AQ570" s="372"/>
      <c r="AU570" s="46"/>
      <c r="AV570" s="46"/>
      <c r="AW570" s="46"/>
    </row>
    <row r="571" spans="2:49" ht="13.5" hidden="1" customHeight="1" x14ac:dyDescent="0.2">
      <c r="B571" s="59"/>
      <c r="C571" s="59"/>
      <c r="D571" s="198"/>
      <c r="E571" s="191"/>
      <c r="F571" s="192"/>
      <c r="G571" s="199">
        <v>5</v>
      </c>
      <c r="H571" s="191"/>
      <c r="I571" s="191"/>
      <c r="J571" s="191"/>
      <c r="K571" s="191"/>
      <c r="L571" s="191"/>
      <c r="M571" s="191"/>
      <c r="N571" s="191"/>
      <c r="O571" s="192"/>
      <c r="P571" s="196"/>
      <c r="Q571" s="196"/>
      <c r="R571" s="197"/>
      <c r="S571" s="198"/>
      <c r="T571" s="191"/>
      <c r="U571" s="192"/>
      <c r="V571" s="199">
        <v>5</v>
      </c>
      <c r="W571" s="191"/>
      <c r="X571" s="191"/>
      <c r="Y571" s="191"/>
      <c r="Z571" s="191"/>
      <c r="AA571" s="191"/>
      <c r="AB571" s="191"/>
      <c r="AC571" s="191"/>
      <c r="AD571" s="192"/>
      <c r="AE571" s="196"/>
      <c r="AF571" s="196"/>
      <c r="AG571" s="87" t="s">
        <v>52</v>
      </c>
      <c r="AH571" s="55"/>
      <c r="AI571" s="55"/>
      <c r="AJ571" s="55"/>
      <c r="AK571" s="55"/>
      <c r="AL571" s="55"/>
      <c r="AM571" s="55"/>
      <c r="AN571" s="55"/>
      <c r="AO571" s="55" t="s">
        <v>53</v>
      </c>
      <c r="AP571" s="55"/>
      <c r="AQ571" s="64"/>
      <c r="AU571" s="46"/>
      <c r="AV571" s="46"/>
      <c r="AW571" s="46"/>
    </row>
    <row r="572" spans="2:49" ht="13.5" hidden="1" customHeight="1" x14ac:dyDescent="0.2">
      <c r="B572" s="59"/>
      <c r="C572" s="59"/>
      <c r="D572" s="198"/>
      <c r="E572" s="191"/>
      <c r="F572" s="192"/>
      <c r="G572" s="199">
        <v>6</v>
      </c>
      <c r="H572" s="191"/>
      <c r="I572" s="191"/>
      <c r="J572" s="191"/>
      <c r="K572" s="191"/>
      <c r="L572" s="191"/>
      <c r="M572" s="191"/>
      <c r="N572" s="191"/>
      <c r="O572" s="192"/>
      <c r="P572" s="196"/>
      <c r="Q572" s="196"/>
      <c r="R572" s="197"/>
      <c r="S572" s="198"/>
      <c r="T572" s="191"/>
      <c r="U572" s="192"/>
      <c r="V572" s="199">
        <v>6</v>
      </c>
      <c r="W572" s="191"/>
      <c r="X572" s="191"/>
      <c r="Y572" s="191"/>
      <c r="Z572" s="191"/>
      <c r="AA572" s="191"/>
      <c r="AB572" s="191"/>
      <c r="AC572" s="191"/>
      <c r="AD572" s="192"/>
      <c r="AE572" s="196"/>
      <c r="AF572" s="196"/>
      <c r="AG572" s="88"/>
      <c r="AH572" s="52"/>
      <c r="AI572" s="52"/>
      <c r="AJ572" s="52"/>
      <c r="AK572" s="52"/>
      <c r="AL572" s="52"/>
      <c r="AM572" s="52"/>
      <c r="AN572" s="52"/>
      <c r="AO572" s="52"/>
      <c r="AP572" s="52"/>
      <c r="AQ572" s="66"/>
      <c r="AU572" s="46"/>
      <c r="AV572" s="46"/>
      <c r="AW572" s="46"/>
    </row>
    <row r="573" spans="2:49" ht="13.5" hidden="1" customHeight="1" thickBot="1" x14ac:dyDescent="0.25">
      <c r="B573" s="59"/>
      <c r="C573" s="59"/>
      <c r="D573" s="198"/>
      <c r="E573" s="191"/>
      <c r="F573" s="192"/>
      <c r="G573" s="199">
        <v>7</v>
      </c>
      <c r="H573" s="191"/>
      <c r="I573" s="191"/>
      <c r="J573" s="191"/>
      <c r="K573" s="191"/>
      <c r="L573" s="191"/>
      <c r="M573" s="191"/>
      <c r="N573" s="191"/>
      <c r="O573" s="192"/>
      <c r="P573" s="196"/>
      <c r="Q573" s="196"/>
      <c r="R573" s="197"/>
      <c r="S573" s="198"/>
      <c r="T573" s="191"/>
      <c r="U573" s="192"/>
      <c r="V573" s="199">
        <v>7</v>
      </c>
      <c r="W573" s="191"/>
      <c r="X573" s="191"/>
      <c r="Y573" s="191"/>
      <c r="Z573" s="191"/>
      <c r="AA573" s="191"/>
      <c r="AB573" s="191"/>
      <c r="AC573" s="191"/>
      <c r="AD573" s="192"/>
      <c r="AE573" s="196"/>
      <c r="AF573" s="196"/>
      <c r="AG573" s="59" t="s">
        <v>54</v>
      </c>
      <c r="AH573" s="52"/>
      <c r="AI573" s="52"/>
      <c r="AJ573" s="52"/>
      <c r="AK573" s="52"/>
      <c r="AL573" s="52"/>
      <c r="AM573" s="52"/>
      <c r="AN573" s="52"/>
      <c r="AO573" s="52"/>
      <c r="AP573" s="52"/>
      <c r="AQ573" s="66"/>
      <c r="AU573" s="46"/>
      <c r="AV573" s="46"/>
      <c r="AW573" s="46"/>
    </row>
    <row r="574" spans="2:49" ht="13.5" hidden="1" customHeight="1" thickBot="1" x14ac:dyDescent="0.25">
      <c r="B574" s="59"/>
      <c r="C574" s="59"/>
      <c r="D574" s="204"/>
      <c r="E574" s="200"/>
      <c r="F574" s="201"/>
      <c r="G574" s="202">
        <v>8</v>
      </c>
      <c r="H574" s="200"/>
      <c r="I574" s="200"/>
      <c r="J574" s="200"/>
      <c r="K574" s="200"/>
      <c r="L574" s="200"/>
      <c r="M574" s="200"/>
      <c r="N574" s="200"/>
      <c r="O574" s="201"/>
      <c r="P574" s="203"/>
      <c r="Q574" s="203"/>
      <c r="R574" s="197"/>
      <c r="S574" s="204"/>
      <c r="T574" s="200"/>
      <c r="U574" s="201"/>
      <c r="V574" s="202">
        <v>8</v>
      </c>
      <c r="W574" s="200"/>
      <c r="X574" s="200"/>
      <c r="Y574" s="200"/>
      <c r="Z574" s="200"/>
      <c r="AA574" s="200"/>
      <c r="AB574" s="200"/>
      <c r="AC574" s="200"/>
      <c r="AD574" s="201"/>
      <c r="AE574" s="203"/>
      <c r="AF574" s="203"/>
      <c r="AG574" s="89" t="s">
        <v>55</v>
      </c>
      <c r="AH574" s="55"/>
      <c r="AI574" s="55"/>
      <c r="AJ574" s="55"/>
      <c r="AK574" s="55"/>
      <c r="AL574" s="55"/>
      <c r="AM574" s="55"/>
      <c r="AN574" s="55"/>
      <c r="AO574" s="55"/>
      <c r="AP574" s="55"/>
      <c r="AQ574" s="64"/>
      <c r="AU574" s="46"/>
      <c r="AV574" s="46"/>
      <c r="AW574" s="46"/>
    </row>
    <row r="575" spans="2:49" ht="13.5" hidden="1" customHeight="1" thickBot="1" x14ac:dyDescent="0.25">
      <c r="B575" s="59"/>
      <c r="C575" s="59"/>
      <c r="D575" s="74"/>
      <c r="E575" s="90"/>
      <c r="F575" s="90"/>
      <c r="G575" s="90"/>
      <c r="H575" s="90"/>
      <c r="I575" s="90"/>
      <c r="J575" s="91" t="s">
        <v>56</v>
      </c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  <c r="AA575" s="90"/>
      <c r="AB575" s="90"/>
      <c r="AC575" s="90"/>
      <c r="AD575" s="90"/>
      <c r="AE575" s="90"/>
      <c r="AF575" s="92"/>
      <c r="AG575" s="69" t="s">
        <v>57</v>
      </c>
      <c r="AH575" s="52"/>
      <c r="AI575" s="52"/>
      <c r="AJ575" s="52"/>
      <c r="AK575" s="52"/>
      <c r="AL575" s="52"/>
      <c r="AM575" s="52"/>
      <c r="AN575" s="52"/>
      <c r="AO575" s="52"/>
      <c r="AP575" s="52"/>
      <c r="AQ575" s="66"/>
      <c r="AU575" s="46"/>
      <c r="AV575" s="46"/>
      <c r="AW575" s="46"/>
    </row>
    <row r="576" spans="2:49" ht="13.5" hidden="1" customHeight="1" thickBot="1" x14ac:dyDescent="0.25">
      <c r="B576" s="59"/>
      <c r="C576" s="59"/>
      <c r="D576" s="93" t="s">
        <v>58</v>
      </c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2"/>
      <c r="S576" s="93" t="s">
        <v>59</v>
      </c>
      <c r="T576" s="90"/>
      <c r="U576" s="90"/>
      <c r="V576" s="90"/>
      <c r="W576" s="90"/>
      <c r="X576" s="90"/>
      <c r="Y576" s="90"/>
      <c r="Z576" s="90"/>
      <c r="AA576" s="90"/>
      <c r="AB576" s="90"/>
      <c r="AC576" s="90"/>
      <c r="AD576" s="90"/>
      <c r="AE576" s="90"/>
      <c r="AF576" s="92"/>
      <c r="AG576" s="94" t="s">
        <v>60</v>
      </c>
      <c r="AH576" s="95"/>
      <c r="AI576" s="95"/>
      <c r="AJ576" s="95"/>
      <c r="AK576" s="95"/>
      <c r="AL576" s="72"/>
      <c r="AM576" s="96" t="s">
        <v>61</v>
      </c>
      <c r="AN576" s="95"/>
      <c r="AO576" s="95"/>
      <c r="AP576" s="95"/>
      <c r="AQ576" s="72"/>
      <c r="AU576" s="46"/>
      <c r="AV576" s="46"/>
      <c r="AW576" s="46"/>
    </row>
    <row r="577" spans="2:49" ht="17.25" hidden="1" customHeight="1" thickBot="1" x14ac:dyDescent="0.25">
      <c r="B577" s="57"/>
      <c r="C577" s="57"/>
      <c r="D577" s="93" t="s">
        <v>62</v>
      </c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2"/>
      <c r="S577" s="93" t="s">
        <v>6</v>
      </c>
      <c r="T577" s="90"/>
      <c r="U577" s="90"/>
      <c r="V577" s="90"/>
      <c r="W577" s="90"/>
      <c r="X577" s="90"/>
      <c r="Y577" s="90"/>
      <c r="Z577" s="90"/>
      <c r="AA577" s="90"/>
      <c r="AB577" s="90"/>
      <c r="AC577" s="90"/>
      <c r="AD577" s="90"/>
      <c r="AE577" s="90"/>
      <c r="AF577" s="92"/>
      <c r="AG577" s="97" t="s">
        <v>63</v>
      </c>
      <c r="AH577" s="58"/>
      <c r="AI577" s="58"/>
      <c r="AJ577" s="58"/>
      <c r="AK577" s="58"/>
      <c r="AL577" s="72"/>
      <c r="AM577" s="98" t="s">
        <v>64</v>
      </c>
      <c r="AN577" s="58"/>
      <c r="AO577" s="58"/>
      <c r="AP577" s="58"/>
      <c r="AQ577" s="72"/>
      <c r="AU577" s="46"/>
      <c r="AV577" s="46"/>
      <c r="AW577" s="46"/>
    </row>
    <row r="578" spans="2:49" ht="17.25" hidden="1" customHeight="1" x14ac:dyDescent="0.2">
      <c r="B578" s="52"/>
      <c r="C578" s="52"/>
      <c r="D578" s="99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99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100"/>
      <c r="AH578" s="52"/>
      <c r="AI578" s="52"/>
      <c r="AJ578" s="52"/>
      <c r="AK578" s="52"/>
      <c r="AL578" s="52"/>
      <c r="AM578" s="101"/>
      <c r="AN578" s="52"/>
      <c r="AO578" s="52"/>
      <c r="AP578" s="52"/>
      <c r="AQ578" s="52"/>
      <c r="AU578" s="46"/>
      <c r="AV578" s="46"/>
      <c r="AW578" s="46"/>
    </row>
    <row r="579" spans="2:49" ht="15.95" hidden="1" customHeight="1" thickBot="1" x14ac:dyDescent="0.25">
      <c r="AU579" s="46"/>
      <c r="AV579" s="46"/>
      <c r="AW579" s="46"/>
    </row>
    <row r="580" spans="2:49" ht="17.25" hidden="1" customHeight="1" x14ac:dyDescent="0.25">
      <c r="B580" s="53"/>
      <c r="C580" s="53"/>
      <c r="D580" s="54" t="s">
        <v>29</v>
      </c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6" t="s">
        <v>73</v>
      </c>
      <c r="Z580" s="55"/>
      <c r="AA580" s="55"/>
      <c r="AB580" s="55"/>
      <c r="AC580" s="55"/>
      <c r="AD580" s="55"/>
      <c r="AE580" s="55"/>
      <c r="AF580" s="55"/>
      <c r="AG580" s="55"/>
      <c r="AH580" s="433" t="s">
        <v>30</v>
      </c>
      <c r="AI580" s="434"/>
      <c r="AJ580" s="434"/>
      <c r="AK580" s="434"/>
      <c r="AL580" s="434"/>
      <c r="AM580" s="435" t="str">
        <f>IF(($AU$9+17)&gt;$AX$9,"",VLOOKUP($AU$9+17,Spielplan,3,0))</f>
        <v/>
      </c>
      <c r="AN580" s="435"/>
      <c r="AO580" s="435"/>
      <c r="AP580" s="435"/>
      <c r="AQ580" s="436"/>
      <c r="AU580" s="46"/>
      <c r="AV580" s="46"/>
      <c r="AW580" s="46"/>
    </row>
    <row r="581" spans="2:49" ht="0.75" hidden="1" customHeight="1" thickBot="1" x14ac:dyDescent="0.25">
      <c r="B581" s="57"/>
      <c r="C581" s="57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9"/>
      <c r="AI581" s="52"/>
      <c r="AJ581" s="52"/>
      <c r="AK581" s="52"/>
      <c r="AL581" s="52"/>
      <c r="AM581" s="60"/>
      <c r="AN581" s="60"/>
      <c r="AO581" s="60"/>
      <c r="AP581" s="60"/>
      <c r="AQ581" s="61"/>
      <c r="AU581" s="46"/>
      <c r="AV581" s="46"/>
      <c r="AW581" s="46"/>
    </row>
    <row r="582" spans="2:49" ht="15" hidden="1" x14ac:dyDescent="0.25">
      <c r="B582" s="53"/>
      <c r="C582" s="62"/>
      <c r="D582" s="53"/>
      <c r="E582" s="63" t="s">
        <v>6</v>
      </c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64"/>
      <c r="S582" s="437" t="s">
        <v>31</v>
      </c>
      <c r="T582" s="438"/>
      <c r="U582" s="438"/>
      <c r="V582" s="438"/>
      <c r="W582" s="438"/>
      <c r="X582" s="438"/>
      <c r="Y582" s="362" t="str">
        <f>IF(($AU$9+17)&gt;$AX$9,"","SHTV")</f>
        <v/>
      </c>
      <c r="Z582" s="362"/>
      <c r="AA582" s="362"/>
      <c r="AB582" s="362"/>
      <c r="AC582" s="362"/>
      <c r="AD582" s="362"/>
      <c r="AE582" s="362"/>
      <c r="AF582" s="362"/>
      <c r="AG582" s="362"/>
      <c r="AH582" s="416" t="s">
        <v>32</v>
      </c>
      <c r="AI582" s="417"/>
      <c r="AJ582" s="417"/>
      <c r="AK582" s="417"/>
      <c r="AL582" s="417"/>
      <c r="AM582" s="420" t="str">
        <f>IF(($AU$9+17)&gt;$AX$9,"",VLOOKUP($AU$9+17,Spielplan,4,0))</f>
        <v/>
      </c>
      <c r="AN582" s="421"/>
      <c r="AO582" s="421"/>
      <c r="AP582" s="421"/>
      <c r="AQ582" s="422"/>
      <c r="AU582" s="46"/>
      <c r="AV582" s="46"/>
      <c r="AW582" s="46"/>
    </row>
    <row r="583" spans="2:49" ht="9.9499999999999993" hidden="1" customHeight="1" x14ac:dyDescent="0.2">
      <c r="B583" s="59"/>
      <c r="C583" s="65"/>
      <c r="D583" s="59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66"/>
      <c r="S583" s="400"/>
      <c r="T583" s="399"/>
      <c r="U583" s="399"/>
      <c r="V583" s="399"/>
      <c r="W583" s="399"/>
      <c r="X583" s="399"/>
      <c r="Y583" s="402"/>
      <c r="Z583" s="402"/>
      <c r="AA583" s="402"/>
      <c r="AB583" s="402"/>
      <c r="AC583" s="402"/>
      <c r="AD583" s="402"/>
      <c r="AE583" s="402"/>
      <c r="AF583" s="402"/>
      <c r="AG583" s="402"/>
      <c r="AH583" s="418"/>
      <c r="AI583" s="419"/>
      <c r="AJ583" s="419"/>
      <c r="AK583" s="419"/>
      <c r="AL583" s="419"/>
      <c r="AM583" s="423"/>
      <c r="AN583" s="423"/>
      <c r="AO583" s="423"/>
      <c r="AP583" s="423"/>
      <c r="AQ583" s="424"/>
      <c r="AU583" s="46"/>
      <c r="AV583" s="46"/>
      <c r="AW583" s="46"/>
    </row>
    <row r="584" spans="2:49" ht="13.15" hidden="1" customHeight="1" x14ac:dyDescent="0.2">
      <c r="B584" s="59"/>
      <c r="C584" s="65"/>
      <c r="D584" s="59"/>
      <c r="E584" s="52" t="s">
        <v>33</v>
      </c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66"/>
      <c r="S584" s="398" t="s">
        <v>34</v>
      </c>
      <c r="T584" s="399"/>
      <c r="U584" s="399"/>
      <c r="V584" s="399"/>
      <c r="W584" s="399"/>
      <c r="X584" s="399"/>
      <c r="Y584" s="402" t="str">
        <f>IF(($AU$9+17)&gt;$AX$9,"",Platzierung!$U$3)</f>
        <v/>
      </c>
      <c r="Z584" s="402"/>
      <c r="AA584" s="402"/>
      <c r="AB584" s="402"/>
      <c r="AC584" s="402"/>
      <c r="AD584" s="402"/>
      <c r="AE584" s="402"/>
      <c r="AF584" s="402"/>
      <c r="AG584" s="402"/>
      <c r="AH584" s="416" t="s">
        <v>35</v>
      </c>
      <c r="AI584" s="417"/>
      <c r="AJ584" s="417"/>
      <c r="AK584" s="417"/>
      <c r="AL584" s="417"/>
      <c r="AM584" s="420" t="str">
        <f>IF(($AU$9+17)&gt;$AX$9,"",VLOOKUP($AU$9+17,Spielplan,6,0))</f>
        <v/>
      </c>
      <c r="AN584" s="421"/>
      <c r="AO584" s="421"/>
      <c r="AP584" s="421"/>
      <c r="AQ584" s="422"/>
      <c r="AU584" s="46"/>
      <c r="AV584" s="46"/>
      <c r="AW584" s="46"/>
    </row>
    <row r="585" spans="2:49" ht="9.9499999999999993" hidden="1" customHeight="1" x14ac:dyDescent="0.2">
      <c r="B585" s="59"/>
      <c r="C585" s="65"/>
      <c r="D585" s="59"/>
      <c r="E585" s="52"/>
      <c r="F585" s="52"/>
      <c r="G585" s="52"/>
      <c r="H585" s="52"/>
      <c r="I585" s="52"/>
      <c r="J585" s="67" t="s">
        <v>36</v>
      </c>
      <c r="K585" s="52"/>
      <c r="L585" s="52"/>
      <c r="M585" s="52"/>
      <c r="N585" s="52"/>
      <c r="O585" s="52"/>
      <c r="P585" s="52"/>
      <c r="Q585" s="52"/>
      <c r="R585" s="66"/>
      <c r="S585" s="400"/>
      <c r="T585" s="399"/>
      <c r="U585" s="399"/>
      <c r="V585" s="399"/>
      <c r="W585" s="399"/>
      <c r="X585" s="399"/>
      <c r="Y585" s="402"/>
      <c r="Z585" s="402"/>
      <c r="AA585" s="402"/>
      <c r="AB585" s="402"/>
      <c r="AC585" s="402"/>
      <c r="AD585" s="402"/>
      <c r="AE585" s="402"/>
      <c r="AF585" s="402"/>
      <c r="AG585" s="402"/>
      <c r="AH585" s="418"/>
      <c r="AI585" s="419"/>
      <c r="AJ585" s="419"/>
      <c r="AK585" s="419"/>
      <c r="AL585" s="419"/>
      <c r="AM585" s="423"/>
      <c r="AN585" s="423"/>
      <c r="AO585" s="423"/>
      <c r="AP585" s="423"/>
      <c r="AQ585" s="424"/>
      <c r="AU585" s="46"/>
      <c r="AV585" s="46"/>
      <c r="AW585" s="46"/>
    </row>
    <row r="586" spans="2:49" ht="15.75" hidden="1" customHeight="1" x14ac:dyDescent="0.2">
      <c r="B586" s="59"/>
      <c r="C586" s="65"/>
      <c r="D586" s="394" t="str">
        <f>IF(($AU$9+17)&gt;$AX$9,"",VLOOKUP($AU$9+17,Spielplan,10,0))</f>
        <v/>
      </c>
      <c r="E586" s="395"/>
      <c r="F586" s="395"/>
      <c r="G586" s="395"/>
      <c r="H586" s="395"/>
      <c r="I586" s="395"/>
      <c r="J586" s="395"/>
      <c r="K586" s="395"/>
      <c r="L586" s="395"/>
      <c r="M586" s="395"/>
      <c r="N586" s="395"/>
      <c r="O586" s="395"/>
      <c r="P586" s="395"/>
      <c r="Q586" s="395"/>
      <c r="R586" s="396"/>
      <c r="S586" s="398" t="s">
        <v>37</v>
      </c>
      <c r="T586" s="399"/>
      <c r="U586" s="399"/>
      <c r="V586" s="399"/>
      <c r="W586" s="399"/>
      <c r="X586" s="399"/>
      <c r="Y586" s="401" t="str">
        <f>IF(($AU$9+17)&gt;$AX$9,"",VLOOKUP($AU$9+17,Spielplan,2,0))</f>
        <v/>
      </c>
      <c r="Z586" s="402"/>
      <c r="AA586" s="402"/>
      <c r="AB586" s="402"/>
      <c r="AC586" s="402"/>
      <c r="AD586" s="402"/>
      <c r="AE586" s="402"/>
      <c r="AF586" s="402"/>
      <c r="AG586" s="402"/>
      <c r="AH586" s="403" t="s">
        <v>38</v>
      </c>
      <c r="AI586" s="399"/>
      <c r="AJ586" s="399"/>
      <c r="AK586" s="399"/>
      <c r="AL586" s="399"/>
      <c r="AM586" s="425" t="str">
        <f>IF(($AU$9+17)&gt;$AX$9,"",VLOOKUP($AU$9+17,Spielplan,5,0))</f>
        <v/>
      </c>
      <c r="AN586" s="426"/>
      <c r="AO586" s="426"/>
      <c r="AP586" s="426"/>
      <c r="AQ586" s="427"/>
      <c r="AU586" s="46"/>
      <c r="AV586" s="46"/>
      <c r="AW586" s="46"/>
    </row>
    <row r="587" spans="2:49" ht="11.1" hidden="1" customHeight="1" thickBot="1" x14ac:dyDescent="0.25">
      <c r="B587" s="59"/>
      <c r="C587" s="65"/>
      <c r="D587" s="397"/>
      <c r="E587" s="395"/>
      <c r="F587" s="395"/>
      <c r="G587" s="395"/>
      <c r="H587" s="395"/>
      <c r="I587" s="395"/>
      <c r="J587" s="395"/>
      <c r="K587" s="395"/>
      <c r="L587" s="395"/>
      <c r="M587" s="395"/>
      <c r="N587" s="395"/>
      <c r="O587" s="395"/>
      <c r="P587" s="395"/>
      <c r="Q587" s="395"/>
      <c r="R587" s="396"/>
      <c r="S587" s="400"/>
      <c r="T587" s="399"/>
      <c r="U587" s="399"/>
      <c r="V587" s="399"/>
      <c r="W587" s="399"/>
      <c r="X587" s="399"/>
      <c r="Y587" s="402"/>
      <c r="Z587" s="402"/>
      <c r="AA587" s="402"/>
      <c r="AB587" s="402"/>
      <c r="AC587" s="402"/>
      <c r="AD587" s="402"/>
      <c r="AE587" s="402"/>
      <c r="AF587" s="402"/>
      <c r="AG587" s="402"/>
      <c r="AH587" s="404"/>
      <c r="AI587" s="405"/>
      <c r="AJ587" s="405"/>
      <c r="AK587" s="405"/>
      <c r="AL587" s="405"/>
      <c r="AM587" s="428"/>
      <c r="AN587" s="428"/>
      <c r="AO587" s="428"/>
      <c r="AP587" s="428"/>
      <c r="AQ587" s="429"/>
      <c r="AU587" s="46"/>
      <c r="AV587" s="46"/>
      <c r="AW587" s="46"/>
    </row>
    <row r="588" spans="2:49" ht="11.1" hidden="1" customHeight="1" thickBot="1" x14ac:dyDescent="0.25">
      <c r="B588" s="59"/>
      <c r="C588" s="65"/>
      <c r="D588" s="57"/>
      <c r="E588" s="58"/>
      <c r="F588" s="58"/>
      <c r="G588" s="58"/>
      <c r="H588" s="58"/>
      <c r="I588" s="58"/>
      <c r="J588" s="58" t="s">
        <v>39</v>
      </c>
      <c r="K588" s="58"/>
      <c r="L588" s="58"/>
      <c r="M588" s="58"/>
      <c r="N588" s="58"/>
      <c r="O588" s="52"/>
      <c r="P588" s="52"/>
      <c r="Q588" s="58"/>
      <c r="R588" s="68"/>
      <c r="S588" s="59"/>
      <c r="T588" s="52"/>
      <c r="U588" s="52"/>
      <c r="V588" s="52"/>
      <c r="W588" s="52"/>
      <c r="X588" s="52"/>
      <c r="Y588" s="430"/>
      <c r="Z588" s="430"/>
      <c r="AA588" s="430"/>
      <c r="AB588" s="430"/>
      <c r="AC588" s="430"/>
      <c r="AD588" s="430"/>
      <c r="AE588" s="430"/>
      <c r="AF588" s="431"/>
      <c r="AG588" s="432"/>
      <c r="AH588" s="69" t="s">
        <v>40</v>
      </c>
      <c r="AI588" s="52"/>
      <c r="AJ588" s="52"/>
      <c r="AK588" s="52"/>
      <c r="AL588" s="52"/>
      <c r="AM588" s="52"/>
      <c r="AN588" s="52"/>
      <c r="AO588" s="70"/>
      <c r="AP588" s="52"/>
      <c r="AQ588" s="66"/>
      <c r="AU588" s="46"/>
      <c r="AV588" s="46"/>
      <c r="AW588" s="46"/>
    </row>
    <row r="589" spans="2:49" ht="13.5" hidden="1" customHeight="1" thickBot="1" x14ac:dyDescent="0.3">
      <c r="B589" s="59"/>
      <c r="C589" s="65"/>
      <c r="D589" s="53"/>
      <c r="E589" s="63" t="s">
        <v>8</v>
      </c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388" t="s">
        <v>41</v>
      </c>
      <c r="R589" s="53"/>
      <c r="S589" s="53"/>
      <c r="T589" s="63" t="s">
        <v>7</v>
      </c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64"/>
      <c r="AF589" s="391" t="s">
        <v>41</v>
      </c>
      <c r="AG589" s="59"/>
      <c r="AH589" s="71" t="s">
        <v>42</v>
      </c>
      <c r="AI589" s="58"/>
      <c r="AJ589" s="58"/>
      <c r="AK589" s="58"/>
      <c r="AL589" s="58"/>
      <c r="AM589" s="58"/>
      <c r="AN589" s="58"/>
      <c r="AO589" s="72"/>
      <c r="AP589" s="52"/>
      <c r="AQ589" s="66"/>
      <c r="AU589" s="46"/>
      <c r="AV589" s="46"/>
      <c r="AW589" s="46"/>
    </row>
    <row r="590" spans="2:49" ht="12" hidden="1" customHeight="1" thickBot="1" x14ac:dyDescent="0.25">
      <c r="B590" s="59"/>
      <c r="C590" s="65"/>
      <c r="D590" s="394" t="str">
        <f>IF(($AU$9+17)&gt;$AX$9,"",VLOOKUP($AU$9+17,Spielplan,7,0))</f>
        <v/>
      </c>
      <c r="E590" s="395"/>
      <c r="F590" s="395"/>
      <c r="G590" s="395"/>
      <c r="H590" s="395"/>
      <c r="I590" s="395"/>
      <c r="J590" s="395"/>
      <c r="K590" s="395"/>
      <c r="L590" s="395"/>
      <c r="M590" s="395"/>
      <c r="N590" s="395"/>
      <c r="O590" s="395"/>
      <c r="P590" s="396"/>
      <c r="Q590" s="389"/>
      <c r="R590" s="59"/>
      <c r="S590" s="394" t="str">
        <f>IF(($AU$9+17)&gt;$AX$9,"",VLOOKUP($AU$9+17,Spielplan,9,0))</f>
        <v/>
      </c>
      <c r="T590" s="395"/>
      <c r="U590" s="395"/>
      <c r="V590" s="395"/>
      <c r="W590" s="395"/>
      <c r="X590" s="395"/>
      <c r="Y590" s="395"/>
      <c r="Z590" s="395"/>
      <c r="AA590" s="395"/>
      <c r="AB590" s="395"/>
      <c r="AC590" s="395"/>
      <c r="AD590" s="395"/>
      <c r="AE590" s="409"/>
      <c r="AF590" s="392"/>
      <c r="AG590" s="59"/>
      <c r="AH590" s="410" t="s">
        <v>43</v>
      </c>
      <c r="AI590" s="411"/>
      <c r="AJ590" s="411"/>
      <c r="AK590" s="411"/>
      <c r="AL590" s="411"/>
      <c r="AM590" s="412"/>
      <c r="AN590" s="73" t="s">
        <v>44</v>
      </c>
      <c r="AO590" s="74"/>
      <c r="AP590" s="74"/>
      <c r="AQ590" s="72"/>
      <c r="AU590" s="46"/>
      <c r="AV590" s="46"/>
      <c r="AW590" s="46"/>
    </row>
    <row r="591" spans="2:49" ht="12" hidden="1" customHeight="1" thickBot="1" x14ac:dyDescent="0.25">
      <c r="B591" s="57"/>
      <c r="C591" s="70"/>
      <c r="D591" s="406"/>
      <c r="E591" s="407"/>
      <c r="F591" s="407"/>
      <c r="G591" s="407"/>
      <c r="H591" s="407"/>
      <c r="I591" s="407"/>
      <c r="J591" s="407"/>
      <c r="K591" s="407"/>
      <c r="L591" s="407"/>
      <c r="M591" s="407"/>
      <c r="N591" s="407"/>
      <c r="O591" s="407"/>
      <c r="P591" s="408"/>
      <c r="Q591" s="390"/>
      <c r="R591" s="57"/>
      <c r="S591" s="406"/>
      <c r="T591" s="407"/>
      <c r="U591" s="407"/>
      <c r="V591" s="407"/>
      <c r="W591" s="407"/>
      <c r="X591" s="407"/>
      <c r="Y591" s="407"/>
      <c r="Z591" s="407"/>
      <c r="AA591" s="407"/>
      <c r="AB591" s="407"/>
      <c r="AC591" s="407"/>
      <c r="AD591" s="407"/>
      <c r="AE591" s="385"/>
      <c r="AF591" s="393"/>
      <c r="AG591" s="57"/>
      <c r="AH591" s="413"/>
      <c r="AI591" s="414"/>
      <c r="AJ591" s="414"/>
      <c r="AK591" s="414"/>
      <c r="AL591" s="414"/>
      <c r="AM591" s="415"/>
      <c r="AN591" s="73" t="s">
        <v>45</v>
      </c>
      <c r="AO591" s="74"/>
      <c r="AP591" s="74"/>
      <c r="AQ591" s="72"/>
      <c r="AU591" s="46"/>
      <c r="AV591" s="46"/>
      <c r="AW591" s="46"/>
    </row>
    <row r="592" spans="2:49" ht="9.9499999999999993" hidden="1" customHeight="1" thickBot="1" x14ac:dyDescent="0.25">
      <c r="B592" s="59"/>
      <c r="C592" s="59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66"/>
      <c r="AU592" s="46"/>
      <c r="AV592" s="46"/>
      <c r="AW592" s="46"/>
    </row>
    <row r="593" spans="2:49" hidden="1" x14ac:dyDescent="0.2">
      <c r="B593" s="53"/>
      <c r="C593" s="62" t="s">
        <v>44</v>
      </c>
      <c r="D593" s="75"/>
      <c r="E593" s="76"/>
      <c r="F593" s="76"/>
      <c r="G593" s="76"/>
      <c r="H593" s="77"/>
      <c r="I593" s="75"/>
      <c r="J593" s="76"/>
      <c r="K593" s="76"/>
      <c r="L593" s="76"/>
      <c r="M593" s="77"/>
      <c r="N593" s="75"/>
      <c r="O593" s="76"/>
      <c r="P593" s="76"/>
      <c r="Q593" s="76"/>
      <c r="R593" s="77"/>
      <c r="S593" s="75"/>
      <c r="T593" s="76"/>
      <c r="U593" s="76"/>
      <c r="V593" s="76"/>
      <c r="W593" s="77"/>
      <c r="X593" s="75"/>
      <c r="Y593" s="76"/>
      <c r="Z593" s="76"/>
      <c r="AA593" s="76"/>
      <c r="AB593" s="77"/>
      <c r="AC593" s="75"/>
      <c r="AD593" s="76"/>
      <c r="AE593" s="76"/>
      <c r="AF593" s="76"/>
      <c r="AG593" s="77"/>
      <c r="AH593" s="75"/>
      <c r="AI593" s="76"/>
      <c r="AJ593" s="76"/>
      <c r="AK593" s="76"/>
      <c r="AL593" s="76"/>
      <c r="AM593" s="188" t="s">
        <v>44</v>
      </c>
      <c r="AN593" s="386"/>
      <c r="AO593" s="386"/>
      <c r="AP593" s="386"/>
      <c r="AQ593" s="387"/>
      <c r="AU593" s="46"/>
      <c r="AV593" s="46"/>
      <c r="AW593" s="46"/>
    </row>
    <row r="594" spans="2:49" ht="13.5" hidden="1" thickBot="1" x14ac:dyDescent="0.25">
      <c r="B594" s="57"/>
      <c r="C594" s="70" t="s">
        <v>45</v>
      </c>
      <c r="D594" s="57"/>
      <c r="E594" s="78"/>
      <c r="F594" s="78"/>
      <c r="G594" s="78"/>
      <c r="H594" s="79"/>
      <c r="I594" s="57"/>
      <c r="J594" s="78"/>
      <c r="K594" s="78"/>
      <c r="L594" s="78"/>
      <c r="M594" s="79"/>
      <c r="N594" s="57"/>
      <c r="O594" s="78"/>
      <c r="P594" s="78"/>
      <c r="Q594" s="78"/>
      <c r="R594" s="79"/>
      <c r="S594" s="57"/>
      <c r="T594" s="78"/>
      <c r="U594" s="78"/>
      <c r="V594" s="78"/>
      <c r="W594" s="79"/>
      <c r="X594" s="57"/>
      <c r="Y594" s="78"/>
      <c r="Z594" s="78"/>
      <c r="AA594" s="78"/>
      <c r="AB594" s="79"/>
      <c r="AC594" s="57"/>
      <c r="AD594" s="78"/>
      <c r="AE594" s="78"/>
      <c r="AF594" s="78"/>
      <c r="AG594" s="79"/>
      <c r="AH594" s="57"/>
      <c r="AI594" s="78"/>
      <c r="AJ594" s="78"/>
      <c r="AK594" s="78"/>
      <c r="AL594" s="78"/>
      <c r="AM594" s="190" t="s">
        <v>45</v>
      </c>
      <c r="AN594" s="323"/>
      <c r="AO594" s="323"/>
      <c r="AP594" s="323"/>
      <c r="AQ594" s="324"/>
      <c r="AU594" s="46"/>
      <c r="AV594" s="46"/>
      <c r="AW594" s="46"/>
    </row>
    <row r="595" spans="2:49" hidden="1" x14ac:dyDescent="0.2">
      <c r="B595" s="53"/>
      <c r="C595" s="62" t="s">
        <v>44</v>
      </c>
      <c r="D595" s="75"/>
      <c r="E595" s="76"/>
      <c r="F595" s="76"/>
      <c r="G595" s="76"/>
      <c r="H595" s="77"/>
      <c r="I595" s="75"/>
      <c r="J595" s="76"/>
      <c r="K595" s="76"/>
      <c r="L595" s="76"/>
      <c r="M595" s="77"/>
      <c r="N595" s="75"/>
      <c r="O595" s="76"/>
      <c r="P595" s="76"/>
      <c r="Q595" s="76"/>
      <c r="R595" s="77"/>
      <c r="S595" s="75"/>
      <c r="T595" s="76"/>
      <c r="U595" s="76"/>
      <c r="V595" s="76"/>
      <c r="W595" s="77"/>
      <c r="X595" s="75"/>
      <c r="Y595" s="76"/>
      <c r="Z595" s="76"/>
      <c r="AA595" s="76"/>
      <c r="AB595" s="77"/>
      <c r="AC595" s="75"/>
      <c r="AD595" s="76"/>
      <c r="AE595" s="76"/>
      <c r="AF595" s="76"/>
      <c r="AG595" s="77"/>
      <c r="AH595" s="75"/>
      <c r="AI595" s="76"/>
      <c r="AJ595" s="76"/>
      <c r="AK595" s="76"/>
      <c r="AL595" s="76"/>
      <c r="AM595" s="188" t="s">
        <v>44</v>
      </c>
      <c r="AN595" s="386"/>
      <c r="AO595" s="386"/>
      <c r="AP595" s="386"/>
      <c r="AQ595" s="387"/>
      <c r="AU595" s="46"/>
      <c r="AV595" s="46"/>
      <c r="AW595" s="46"/>
    </row>
    <row r="596" spans="2:49" ht="13.5" hidden="1" thickBot="1" x14ac:dyDescent="0.25">
      <c r="B596" s="57"/>
      <c r="C596" s="70" t="s">
        <v>45</v>
      </c>
      <c r="D596" s="57"/>
      <c r="E596" s="78"/>
      <c r="F596" s="78"/>
      <c r="G596" s="78"/>
      <c r="H596" s="79"/>
      <c r="I596" s="57"/>
      <c r="J596" s="78"/>
      <c r="K596" s="78"/>
      <c r="L596" s="78"/>
      <c r="M596" s="79"/>
      <c r="N596" s="57"/>
      <c r="O596" s="78"/>
      <c r="P596" s="78"/>
      <c r="Q596" s="78"/>
      <c r="R596" s="79"/>
      <c r="S596" s="57"/>
      <c r="T596" s="78"/>
      <c r="U596" s="78"/>
      <c r="V596" s="78"/>
      <c r="W596" s="79"/>
      <c r="X596" s="57"/>
      <c r="Y596" s="78"/>
      <c r="Z596" s="78"/>
      <c r="AA596" s="78"/>
      <c r="AB596" s="79"/>
      <c r="AC596" s="57"/>
      <c r="AD596" s="78"/>
      <c r="AE596" s="78"/>
      <c r="AF596" s="78"/>
      <c r="AG596" s="79"/>
      <c r="AH596" s="57"/>
      <c r="AI596" s="78"/>
      <c r="AJ596" s="78"/>
      <c r="AK596" s="78"/>
      <c r="AL596" s="78"/>
      <c r="AM596" s="189" t="s">
        <v>45</v>
      </c>
      <c r="AN596" s="338"/>
      <c r="AO596" s="338"/>
      <c r="AP596" s="338"/>
      <c r="AQ596" s="339"/>
      <c r="AU596" s="46"/>
      <c r="AV596" s="46"/>
      <c r="AW596" s="46"/>
    </row>
    <row r="597" spans="2:49" hidden="1" x14ac:dyDescent="0.2">
      <c r="B597" s="53"/>
      <c r="C597" s="62" t="s">
        <v>44</v>
      </c>
      <c r="D597" s="75"/>
      <c r="E597" s="76"/>
      <c r="F597" s="76"/>
      <c r="G597" s="76"/>
      <c r="H597" s="77"/>
      <c r="I597" s="75"/>
      <c r="J597" s="76"/>
      <c r="K597" s="76"/>
      <c r="L597" s="76"/>
      <c r="M597" s="77"/>
      <c r="N597" s="75"/>
      <c r="O597" s="76"/>
      <c r="P597" s="76"/>
      <c r="Q597" s="76"/>
      <c r="R597" s="77"/>
      <c r="S597" s="75"/>
      <c r="T597" s="76"/>
      <c r="U597" s="76"/>
      <c r="V597" s="76"/>
      <c r="W597" s="77"/>
      <c r="X597" s="75"/>
      <c r="Y597" s="76"/>
      <c r="Z597" s="76"/>
      <c r="AA597" s="76"/>
      <c r="AB597" s="77"/>
      <c r="AC597" s="75"/>
      <c r="AD597" s="76"/>
      <c r="AE597" s="76"/>
      <c r="AF597" s="76"/>
      <c r="AG597" s="77"/>
      <c r="AH597" s="75"/>
      <c r="AI597" s="76"/>
      <c r="AJ597" s="76"/>
      <c r="AK597" s="76"/>
      <c r="AL597" s="76"/>
      <c r="AM597" s="188" t="s">
        <v>44</v>
      </c>
      <c r="AN597" s="386"/>
      <c r="AO597" s="386"/>
      <c r="AP597" s="386"/>
      <c r="AQ597" s="387"/>
      <c r="AU597" s="46"/>
      <c r="AV597" s="46"/>
      <c r="AW597" s="46"/>
    </row>
    <row r="598" spans="2:49" ht="13.5" hidden="1" thickBot="1" x14ac:dyDescent="0.25">
      <c r="B598" s="57"/>
      <c r="C598" s="70" t="s">
        <v>45</v>
      </c>
      <c r="D598" s="57"/>
      <c r="E598" s="78"/>
      <c r="F598" s="78"/>
      <c r="G598" s="78"/>
      <c r="H598" s="79"/>
      <c r="I598" s="57"/>
      <c r="J598" s="78"/>
      <c r="K598" s="78"/>
      <c r="L598" s="78"/>
      <c r="M598" s="79"/>
      <c r="N598" s="57"/>
      <c r="O598" s="78"/>
      <c r="P598" s="78"/>
      <c r="Q598" s="78"/>
      <c r="R598" s="79"/>
      <c r="S598" s="57"/>
      <c r="T598" s="78"/>
      <c r="U598" s="78"/>
      <c r="V598" s="78"/>
      <c r="W598" s="79"/>
      <c r="X598" s="57"/>
      <c r="Y598" s="78"/>
      <c r="Z598" s="78"/>
      <c r="AA598" s="78"/>
      <c r="AB598" s="79"/>
      <c r="AC598" s="57"/>
      <c r="AD598" s="78"/>
      <c r="AE598" s="78"/>
      <c r="AF598" s="78"/>
      <c r="AG598" s="79"/>
      <c r="AH598" s="57"/>
      <c r="AI598" s="78"/>
      <c r="AJ598" s="78"/>
      <c r="AK598" s="78"/>
      <c r="AL598" s="78"/>
      <c r="AM598" s="189" t="s">
        <v>45</v>
      </c>
      <c r="AN598" s="338"/>
      <c r="AO598" s="338"/>
      <c r="AP598" s="338"/>
      <c r="AQ598" s="339"/>
      <c r="AU598" s="46"/>
      <c r="AV598" s="46"/>
      <c r="AW598" s="46"/>
    </row>
    <row r="599" spans="2:49" ht="9.9499999999999993" hidden="1" customHeight="1" x14ac:dyDescent="0.2">
      <c r="B599" s="59"/>
      <c r="C599" s="59"/>
      <c r="D599" s="374" t="s">
        <v>46</v>
      </c>
      <c r="E599" s="375"/>
      <c r="F599" s="376"/>
      <c r="G599" s="380" t="s">
        <v>47</v>
      </c>
      <c r="H599" s="381"/>
      <c r="I599" s="381"/>
      <c r="J599" s="381"/>
      <c r="K599" s="381"/>
      <c r="L599" s="381"/>
      <c r="M599" s="381"/>
      <c r="N599" s="381"/>
      <c r="O599" s="382"/>
      <c r="P599" s="359" t="s">
        <v>41</v>
      </c>
      <c r="Q599" s="359" t="s">
        <v>48</v>
      </c>
      <c r="R599" s="52"/>
      <c r="S599" s="374" t="s">
        <v>46</v>
      </c>
      <c r="T599" s="375"/>
      <c r="U599" s="376"/>
      <c r="V599" s="380" t="s">
        <v>47</v>
      </c>
      <c r="W599" s="381"/>
      <c r="X599" s="381"/>
      <c r="Y599" s="381"/>
      <c r="Z599" s="381"/>
      <c r="AA599" s="381"/>
      <c r="AB599" s="381"/>
      <c r="AC599" s="381"/>
      <c r="AD599" s="382"/>
      <c r="AE599" s="359" t="s">
        <v>41</v>
      </c>
      <c r="AF599" s="359" t="s">
        <v>48</v>
      </c>
      <c r="AG599" s="80"/>
      <c r="AH599" s="81"/>
      <c r="AI599" s="81"/>
      <c r="AJ599" s="81"/>
      <c r="AK599" s="81"/>
      <c r="AL599" s="81"/>
      <c r="AM599" s="99"/>
      <c r="AN599" s="373" t="s">
        <v>1</v>
      </c>
      <c r="AO599" s="373"/>
      <c r="AP599" s="373" t="s">
        <v>2</v>
      </c>
      <c r="AQ599" s="373"/>
      <c r="AR599" s="82"/>
      <c r="AU599" s="46"/>
      <c r="AV599" s="46"/>
      <c r="AW599" s="46"/>
    </row>
    <row r="600" spans="2:49" ht="13.5" hidden="1" thickBot="1" x14ac:dyDescent="0.25">
      <c r="B600" s="59"/>
      <c r="C600" s="59"/>
      <c r="D600" s="377"/>
      <c r="E600" s="378"/>
      <c r="F600" s="379"/>
      <c r="G600" s="383"/>
      <c r="H600" s="384"/>
      <c r="I600" s="384"/>
      <c r="J600" s="384"/>
      <c r="K600" s="384"/>
      <c r="L600" s="384"/>
      <c r="M600" s="384"/>
      <c r="N600" s="384"/>
      <c r="O600" s="385"/>
      <c r="P600" s="360"/>
      <c r="Q600" s="360"/>
      <c r="R600" s="52"/>
      <c r="S600" s="377"/>
      <c r="T600" s="378"/>
      <c r="U600" s="379"/>
      <c r="V600" s="383"/>
      <c r="W600" s="384"/>
      <c r="X600" s="384"/>
      <c r="Y600" s="384"/>
      <c r="Z600" s="384"/>
      <c r="AA600" s="384"/>
      <c r="AB600" s="384"/>
      <c r="AC600" s="384"/>
      <c r="AD600" s="385"/>
      <c r="AE600" s="360"/>
      <c r="AF600" s="360"/>
      <c r="AG600" s="83"/>
      <c r="AH600" s="52"/>
      <c r="AI600" s="84" t="s">
        <v>49</v>
      </c>
      <c r="AJ600" s="84"/>
      <c r="AK600" s="84"/>
      <c r="AL600" s="84"/>
      <c r="AM600" s="84"/>
      <c r="AN600" s="84"/>
      <c r="AO600" s="85"/>
      <c r="AP600" s="85"/>
      <c r="AQ600" s="86"/>
      <c r="AR600" s="82"/>
      <c r="AU600" s="46"/>
      <c r="AV600" s="46"/>
      <c r="AW600" s="46"/>
    </row>
    <row r="601" spans="2:49" ht="13.5" hidden="1" customHeight="1" x14ac:dyDescent="0.2">
      <c r="B601" s="59"/>
      <c r="C601" s="59"/>
      <c r="D601" s="198"/>
      <c r="E601" s="191"/>
      <c r="F601" s="192"/>
      <c r="G601" s="193" t="s">
        <v>50</v>
      </c>
      <c r="H601" s="194"/>
      <c r="I601" s="194"/>
      <c r="J601" s="194"/>
      <c r="K601" s="194"/>
      <c r="L601" s="194"/>
      <c r="M601" s="194"/>
      <c r="N601" s="194"/>
      <c r="O601" s="195"/>
      <c r="P601" s="196"/>
      <c r="Q601" s="196"/>
      <c r="R601" s="197"/>
      <c r="S601" s="198"/>
      <c r="T601" s="191"/>
      <c r="U601" s="192"/>
      <c r="V601" s="193" t="s">
        <v>50</v>
      </c>
      <c r="W601" s="194"/>
      <c r="X601" s="194"/>
      <c r="Y601" s="194"/>
      <c r="Z601" s="194"/>
      <c r="AA601" s="194"/>
      <c r="AB601" s="194"/>
      <c r="AC601" s="194"/>
      <c r="AD601" s="195"/>
      <c r="AE601" s="196"/>
      <c r="AF601" s="196"/>
      <c r="AG601" s="361" t="s">
        <v>68</v>
      </c>
      <c r="AH601" s="362"/>
      <c r="AI601" s="362"/>
      <c r="AJ601" s="363"/>
      <c r="AK601" s="367" t="s">
        <v>51</v>
      </c>
      <c r="AL601" s="368"/>
      <c r="AM601" s="368"/>
      <c r="AN601" s="368"/>
      <c r="AO601" s="368"/>
      <c r="AP601" s="368"/>
      <c r="AQ601" s="369"/>
      <c r="AU601" s="46"/>
      <c r="AV601" s="46"/>
      <c r="AW601" s="46"/>
    </row>
    <row r="602" spans="2:49" ht="13.5" hidden="1" customHeight="1" thickBot="1" x14ac:dyDescent="0.25">
      <c r="B602" s="59"/>
      <c r="C602" s="59"/>
      <c r="D602" s="198"/>
      <c r="E602" s="191"/>
      <c r="F602" s="192"/>
      <c r="G602" s="199">
        <v>2</v>
      </c>
      <c r="H602" s="191"/>
      <c r="I602" s="191"/>
      <c r="J602" s="191"/>
      <c r="K602" s="191"/>
      <c r="L602" s="191"/>
      <c r="M602" s="191"/>
      <c r="N602" s="191"/>
      <c r="O602" s="192"/>
      <c r="P602" s="196"/>
      <c r="Q602" s="196"/>
      <c r="R602" s="197"/>
      <c r="S602" s="198"/>
      <c r="T602" s="191"/>
      <c r="U602" s="192"/>
      <c r="V602" s="199">
        <v>2</v>
      </c>
      <c r="W602" s="191"/>
      <c r="X602" s="191"/>
      <c r="Y602" s="191"/>
      <c r="Z602" s="191"/>
      <c r="AA602" s="191"/>
      <c r="AB602" s="191"/>
      <c r="AC602" s="191"/>
      <c r="AD602" s="192"/>
      <c r="AE602" s="196"/>
      <c r="AF602" s="196"/>
      <c r="AG602" s="364"/>
      <c r="AH602" s="365"/>
      <c r="AI602" s="365"/>
      <c r="AJ602" s="366"/>
      <c r="AK602" s="370"/>
      <c r="AL602" s="371"/>
      <c r="AM602" s="371"/>
      <c r="AN602" s="371"/>
      <c r="AO602" s="371"/>
      <c r="AP602" s="371"/>
      <c r="AQ602" s="372"/>
      <c r="AU602" s="46"/>
      <c r="AV602" s="46"/>
      <c r="AW602" s="46"/>
    </row>
    <row r="603" spans="2:49" ht="13.5" hidden="1" customHeight="1" x14ac:dyDescent="0.2">
      <c r="B603" s="59"/>
      <c r="C603" s="59"/>
      <c r="D603" s="198"/>
      <c r="E603" s="191"/>
      <c r="F603" s="192"/>
      <c r="G603" s="199">
        <v>3</v>
      </c>
      <c r="H603" s="191"/>
      <c r="I603" s="191"/>
      <c r="J603" s="191"/>
      <c r="K603" s="191"/>
      <c r="L603" s="191"/>
      <c r="M603" s="191"/>
      <c r="N603" s="191"/>
      <c r="O603" s="192"/>
      <c r="P603" s="196"/>
      <c r="Q603" s="196"/>
      <c r="R603" s="197"/>
      <c r="S603" s="198"/>
      <c r="T603" s="191"/>
      <c r="U603" s="192"/>
      <c r="V603" s="199">
        <v>3</v>
      </c>
      <c r="W603" s="191"/>
      <c r="X603" s="191"/>
      <c r="Y603" s="191"/>
      <c r="Z603" s="191"/>
      <c r="AA603" s="191"/>
      <c r="AB603" s="191"/>
      <c r="AC603" s="191"/>
      <c r="AD603" s="192"/>
      <c r="AE603" s="196"/>
      <c r="AF603" s="196"/>
      <c r="AG603" s="361" t="s">
        <v>2</v>
      </c>
      <c r="AH603" s="362"/>
      <c r="AI603" s="362"/>
      <c r="AJ603" s="363"/>
      <c r="AK603" s="367" t="s">
        <v>51</v>
      </c>
      <c r="AL603" s="368"/>
      <c r="AM603" s="368"/>
      <c r="AN603" s="368"/>
      <c r="AO603" s="368"/>
      <c r="AP603" s="368"/>
      <c r="AQ603" s="369"/>
      <c r="AU603" s="46"/>
      <c r="AV603" s="46"/>
      <c r="AW603" s="46"/>
    </row>
    <row r="604" spans="2:49" ht="13.5" hidden="1" customHeight="1" thickBot="1" x14ac:dyDescent="0.25">
      <c r="B604" s="59"/>
      <c r="C604" s="59"/>
      <c r="D604" s="198"/>
      <c r="E604" s="191"/>
      <c r="F604" s="192"/>
      <c r="G604" s="199">
        <v>4</v>
      </c>
      <c r="H604" s="191"/>
      <c r="I604" s="191"/>
      <c r="J604" s="191"/>
      <c r="K604" s="191"/>
      <c r="L604" s="191"/>
      <c r="M604" s="191"/>
      <c r="N604" s="191"/>
      <c r="O604" s="192"/>
      <c r="P604" s="196"/>
      <c r="Q604" s="196"/>
      <c r="R604" s="197"/>
      <c r="S604" s="198"/>
      <c r="T604" s="191"/>
      <c r="U604" s="192"/>
      <c r="V604" s="199">
        <v>4</v>
      </c>
      <c r="W604" s="191"/>
      <c r="X604" s="191"/>
      <c r="Y604" s="191"/>
      <c r="Z604" s="191"/>
      <c r="AA604" s="191"/>
      <c r="AB604" s="191"/>
      <c r="AC604" s="191"/>
      <c r="AD604" s="192"/>
      <c r="AE604" s="196"/>
      <c r="AF604" s="196"/>
      <c r="AG604" s="364"/>
      <c r="AH604" s="365"/>
      <c r="AI604" s="365"/>
      <c r="AJ604" s="366"/>
      <c r="AK604" s="370"/>
      <c r="AL604" s="371"/>
      <c r="AM604" s="371"/>
      <c r="AN604" s="371"/>
      <c r="AO604" s="371"/>
      <c r="AP604" s="371"/>
      <c r="AQ604" s="372"/>
      <c r="AU604" s="46"/>
      <c r="AV604" s="46"/>
      <c r="AW604" s="46"/>
    </row>
    <row r="605" spans="2:49" ht="13.5" hidden="1" customHeight="1" x14ac:dyDescent="0.2">
      <c r="B605" s="59"/>
      <c r="C605" s="59"/>
      <c r="D605" s="198"/>
      <c r="E605" s="191"/>
      <c r="F605" s="192"/>
      <c r="G605" s="199">
        <v>5</v>
      </c>
      <c r="H605" s="191"/>
      <c r="I605" s="191"/>
      <c r="J605" s="191"/>
      <c r="K605" s="191"/>
      <c r="L605" s="191"/>
      <c r="M605" s="191"/>
      <c r="N605" s="191"/>
      <c r="O605" s="192"/>
      <c r="P605" s="196"/>
      <c r="Q605" s="196"/>
      <c r="R605" s="197"/>
      <c r="S605" s="198"/>
      <c r="T605" s="191"/>
      <c r="U605" s="192"/>
      <c r="V605" s="199">
        <v>5</v>
      </c>
      <c r="W605" s="191"/>
      <c r="X605" s="191"/>
      <c r="Y605" s="191"/>
      <c r="Z605" s="191"/>
      <c r="AA605" s="191"/>
      <c r="AB605" s="191"/>
      <c r="AC605" s="191"/>
      <c r="AD605" s="192"/>
      <c r="AE605" s="196"/>
      <c r="AF605" s="196"/>
      <c r="AG605" s="87" t="s">
        <v>52</v>
      </c>
      <c r="AH605" s="55"/>
      <c r="AI605" s="55"/>
      <c r="AJ605" s="55"/>
      <c r="AK605" s="55"/>
      <c r="AL605" s="55"/>
      <c r="AM605" s="55"/>
      <c r="AN605" s="55"/>
      <c r="AO605" s="55" t="s">
        <v>53</v>
      </c>
      <c r="AP605" s="55"/>
      <c r="AQ605" s="64"/>
      <c r="AU605" s="46"/>
      <c r="AV605" s="46"/>
      <c r="AW605" s="46"/>
    </row>
    <row r="606" spans="2:49" ht="13.5" hidden="1" customHeight="1" x14ac:dyDescent="0.2">
      <c r="B606" s="59"/>
      <c r="C606" s="59"/>
      <c r="D606" s="198"/>
      <c r="E606" s="191"/>
      <c r="F606" s="192"/>
      <c r="G606" s="199">
        <v>6</v>
      </c>
      <c r="H606" s="191"/>
      <c r="I606" s="191"/>
      <c r="J606" s="191"/>
      <c r="K606" s="191"/>
      <c r="L606" s="191"/>
      <c r="M606" s="191"/>
      <c r="N606" s="191"/>
      <c r="O606" s="192"/>
      <c r="P606" s="196"/>
      <c r="Q606" s="196"/>
      <c r="R606" s="197"/>
      <c r="S606" s="198"/>
      <c r="T606" s="191"/>
      <c r="U606" s="192"/>
      <c r="V606" s="199">
        <v>6</v>
      </c>
      <c r="W606" s="191"/>
      <c r="X606" s="191"/>
      <c r="Y606" s="191"/>
      <c r="Z606" s="191"/>
      <c r="AA606" s="191"/>
      <c r="AB606" s="191"/>
      <c r="AC606" s="191"/>
      <c r="AD606" s="192"/>
      <c r="AE606" s="196"/>
      <c r="AF606" s="196"/>
      <c r="AG606" s="88"/>
      <c r="AH606" s="52"/>
      <c r="AI606" s="52"/>
      <c r="AJ606" s="52"/>
      <c r="AK606" s="52"/>
      <c r="AL606" s="52"/>
      <c r="AM606" s="52"/>
      <c r="AN606" s="52"/>
      <c r="AO606" s="52"/>
      <c r="AP606" s="52"/>
      <c r="AQ606" s="66"/>
      <c r="AU606" s="46"/>
      <c r="AV606" s="46"/>
      <c r="AW606" s="46"/>
    </row>
    <row r="607" spans="2:49" ht="13.5" hidden="1" customHeight="1" thickBot="1" x14ac:dyDescent="0.25">
      <c r="B607" s="59"/>
      <c r="C607" s="59"/>
      <c r="D607" s="198"/>
      <c r="E607" s="191"/>
      <c r="F607" s="192"/>
      <c r="G607" s="199">
        <v>7</v>
      </c>
      <c r="H607" s="191"/>
      <c r="I607" s="191"/>
      <c r="J607" s="191"/>
      <c r="K607" s="191"/>
      <c r="L607" s="191"/>
      <c r="M607" s="191"/>
      <c r="N607" s="191"/>
      <c r="O607" s="192"/>
      <c r="P607" s="196"/>
      <c r="Q607" s="196"/>
      <c r="R607" s="197"/>
      <c r="S607" s="198"/>
      <c r="T607" s="191"/>
      <c r="U607" s="192"/>
      <c r="V607" s="199">
        <v>7</v>
      </c>
      <c r="W607" s="191"/>
      <c r="X607" s="191"/>
      <c r="Y607" s="191"/>
      <c r="Z607" s="191"/>
      <c r="AA607" s="191"/>
      <c r="AB607" s="191"/>
      <c r="AC607" s="191"/>
      <c r="AD607" s="192"/>
      <c r="AE607" s="196"/>
      <c r="AF607" s="196"/>
      <c r="AG607" s="59" t="s">
        <v>54</v>
      </c>
      <c r="AH607" s="52"/>
      <c r="AI607" s="52"/>
      <c r="AJ607" s="52"/>
      <c r="AK607" s="52"/>
      <c r="AL607" s="52"/>
      <c r="AM607" s="52"/>
      <c r="AN607" s="52"/>
      <c r="AO607" s="52"/>
      <c r="AP607" s="52"/>
      <c r="AQ607" s="66"/>
      <c r="AU607" s="46"/>
      <c r="AV607" s="46"/>
      <c r="AW607" s="46"/>
    </row>
    <row r="608" spans="2:49" ht="13.5" hidden="1" customHeight="1" thickBot="1" x14ac:dyDescent="0.25">
      <c r="B608" s="59"/>
      <c r="C608" s="59"/>
      <c r="D608" s="204"/>
      <c r="E608" s="200"/>
      <c r="F608" s="201"/>
      <c r="G608" s="202">
        <v>8</v>
      </c>
      <c r="H608" s="200"/>
      <c r="I608" s="200"/>
      <c r="J608" s="200"/>
      <c r="K608" s="200"/>
      <c r="L608" s="200"/>
      <c r="M608" s="200"/>
      <c r="N608" s="200"/>
      <c r="O608" s="201"/>
      <c r="P608" s="203"/>
      <c r="Q608" s="203"/>
      <c r="R608" s="197"/>
      <c r="S608" s="204"/>
      <c r="T608" s="200"/>
      <c r="U608" s="201"/>
      <c r="V608" s="202">
        <v>8</v>
      </c>
      <c r="W608" s="200"/>
      <c r="X608" s="200"/>
      <c r="Y608" s="200"/>
      <c r="Z608" s="200"/>
      <c r="AA608" s="200"/>
      <c r="AB608" s="200"/>
      <c r="AC608" s="200"/>
      <c r="AD608" s="201"/>
      <c r="AE608" s="203"/>
      <c r="AF608" s="203"/>
      <c r="AG608" s="89" t="s">
        <v>55</v>
      </c>
      <c r="AH608" s="55"/>
      <c r="AI608" s="55"/>
      <c r="AJ608" s="55"/>
      <c r="AK608" s="55"/>
      <c r="AL608" s="55"/>
      <c r="AM608" s="55"/>
      <c r="AN608" s="55"/>
      <c r="AO608" s="55"/>
      <c r="AP608" s="55"/>
      <c r="AQ608" s="64"/>
      <c r="AU608" s="46"/>
      <c r="AV608" s="46"/>
      <c r="AW608" s="46"/>
    </row>
    <row r="609" spans="2:49" ht="13.5" hidden="1" customHeight="1" thickBot="1" x14ac:dyDescent="0.25">
      <c r="B609" s="59"/>
      <c r="C609" s="59"/>
      <c r="D609" s="74"/>
      <c r="E609" s="90"/>
      <c r="F609" s="90"/>
      <c r="G609" s="90"/>
      <c r="H609" s="90"/>
      <c r="I609" s="90"/>
      <c r="J609" s="91" t="s">
        <v>56</v>
      </c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  <c r="AA609" s="90"/>
      <c r="AB609" s="90"/>
      <c r="AC609" s="90"/>
      <c r="AD609" s="90"/>
      <c r="AE609" s="90"/>
      <c r="AF609" s="92"/>
      <c r="AG609" s="69" t="s">
        <v>57</v>
      </c>
      <c r="AH609" s="52"/>
      <c r="AI609" s="52"/>
      <c r="AJ609" s="52"/>
      <c r="AK609" s="52"/>
      <c r="AL609" s="52"/>
      <c r="AM609" s="52"/>
      <c r="AN609" s="52"/>
      <c r="AO609" s="52"/>
      <c r="AP609" s="52"/>
      <c r="AQ609" s="66"/>
      <c r="AU609" s="46"/>
      <c r="AV609" s="46"/>
      <c r="AW609" s="46"/>
    </row>
    <row r="610" spans="2:49" ht="13.5" hidden="1" customHeight="1" thickBot="1" x14ac:dyDescent="0.25">
      <c r="B610" s="59"/>
      <c r="C610" s="59"/>
      <c r="D610" s="93" t="s">
        <v>58</v>
      </c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2"/>
      <c r="S610" s="93" t="s">
        <v>59</v>
      </c>
      <c r="T610" s="90"/>
      <c r="U610" s="90"/>
      <c r="V610" s="90"/>
      <c r="W610" s="90"/>
      <c r="X610" s="90"/>
      <c r="Y610" s="90"/>
      <c r="Z610" s="90"/>
      <c r="AA610" s="90"/>
      <c r="AB610" s="90"/>
      <c r="AC610" s="90"/>
      <c r="AD610" s="90"/>
      <c r="AE610" s="90"/>
      <c r="AF610" s="92"/>
      <c r="AG610" s="94" t="s">
        <v>60</v>
      </c>
      <c r="AH610" s="95"/>
      <c r="AI610" s="95"/>
      <c r="AJ610" s="95"/>
      <c r="AK610" s="95"/>
      <c r="AL610" s="72"/>
      <c r="AM610" s="96" t="s">
        <v>61</v>
      </c>
      <c r="AN610" s="95"/>
      <c r="AO610" s="95"/>
      <c r="AP610" s="95"/>
      <c r="AQ610" s="72"/>
      <c r="AU610" s="46"/>
      <c r="AV610" s="46"/>
      <c r="AW610" s="46"/>
    </row>
    <row r="611" spans="2:49" ht="17.25" hidden="1" customHeight="1" thickBot="1" x14ac:dyDescent="0.25">
      <c r="B611" s="57"/>
      <c r="C611" s="57"/>
      <c r="D611" s="93" t="s">
        <v>62</v>
      </c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2"/>
      <c r="S611" s="93" t="s">
        <v>6</v>
      </c>
      <c r="T611" s="90"/>
      <c r="U611" s="90"/>
      <c r="V611" s="90"/>
      <c r="W611" s="90"/>
      <c r="X611" s="90"/>
      <c r="Y611" s="90"/>
      <c r="Z611" s="90"/>
      <c r="AA611" s="90"/>
      <c r="AB611" s="90"/>
      <c r="AC611" s="90"/>
      <c r="AD611" s="90"/>
      <c r="AE611" s="90"/>
      <c r="AF611" s="92"/>
      <c r="AG611" s="97" t="s">
        <v>63</v>
      </c>
      <c r="AH611" s="58"/>
      <c r="AI611" s="58"/>
      <c r="AJ611" s="58"/>
      <c r="AK611" s="58"/>
      <c r="AL611" s="72"/>
      <c r="AM611" s="98" t="s">
        <v>64</v>
      </c>
      <c r="AN611" s="58"/>
      <c r="AO611" s="58"/>
      <c r="AP611" s="58"/>
      <c r="AQ611" s="72"/>
      <c r="AU611" s="46"/>
      <c r="AV611" s="46"/>
      <c r="AW611" s="46"/>
    </row>
    <row r="612" spans="2:49" hidden="1" x14ac:dyDescent="0.2">
      <c r="AU612" s="46"/>
      <c r="AV612" s="46"/>
      <c r="AW612" s="46"/>
    </row>
  </sheetData>
  <mergeCells count="851">
    <mergeCell ref="AN529:AO529"/>
    <mergeCell ref="AP529:AQ529"/>
    <mergeCell ref="AN530:AO530"/>
    <mergeCell ref="AP530:AQ530"/>
    <mergeCell ref="AN527:AO527"/>
    <mergeCell ref="AP527:AQ527"/>
    <mergeCell ref="AN528:AO528"/>
    <mergeCell ref="AP528:AQ528"/>
    <mergeCell ref="AN525:AO525"/>
    <mergeCell ref="AP525:AQ525"/>
    <mergeCell ref="AM518:AQ519"/>
    <mergeCell ref="AN526:AO526"/>
    <mergeCell ref="AP526:AQ526"/>
    <mergeCell ref="AN496:AO496"/>
    <mergeCell ref="AP496:AQ496"/>
    <mergeCell ref="AN497:AO497"/>
    <mergeCell ref="AP497:AQ497"/>
    <mergeCell ref="AN463:AO463"/>
    <mergeCell ref="AP463:AQ463"/>
    <mergeCell ref="AN491:AO491"/>
    <mergeCell ref="AP491:AQ491"/>
    <mergeCell ref="AM484:AQ485"/>
    <mergeCell ref="AN461:AO461"/>
    <mergeCell ref="AP461:AQ461"/>
    <mergeCell ref="AN462:AO462"/>
    <mergeCell ref="AP462:AQ462"/>
    <mergeCell ref="AM480:AQ481"/>
    <mergeCell ref="AN460:AO460"/>
    <mergeCell ref="AP460:AQ460"/>
    <mergeCell ref="AN457:AO457"/>
    <mergeCell ref="AP457:AQ457"/>
    <mergeCell ref="AN458:AO458"/>
    <mergeCell ref="AP458:AQ458"/>
    <mergeCell ref="AP429:AQ429"/>
    <mergeCell ref="AN426:AO426"/>
    <mergeCell ref="AP426:AQ426"/>
    <mergeCell ref="AN427:AO427"/>
    <mergeCell ref="AP427:AQ427"/>
    <mergeCell ref="AN459:AO459"/>
    <mergeCell ref="AP459:AQ459"/>
    <mergeCell ref="AN393:AO393"/>
    <mergeCell ref="AP393:AQ393"/>
    <mergeCell ref="AN394:AO394"/>
    <mergeCell ref="AP394:AQ394"/>
    <mergeCell ref="AN391:AO391"/>
    <mergeCell ref="AP391:AQ391"/>
    <mergeCell ref="AN392:AO392"/>
    <mergeCell ref="AP392:AQ392"/>
    <mergeCell ref="AN390:AO390"/>
    <mergeCell ref="AP390:AQ390"/>
    <mergeCell ref="AN360:AO360"/>
    <mergeCell ref="AP360:AQ360"/>
    <mergeCell ref="AN361:AO361"/>
    <mergeCell ref="AP361:AQ361"/>
    <mergeCell ref="AM382:AQ383"/>
    <mergeCell ref="AM380:AQ381"/>
    <mergeCell ref="AN325:AO325"/>
    <mergeCell ref="AP325:AQ325"/>
    <mergeCell ref="AN326:AO326"/>
    <mergeCell ref="AP326:AQ326"/>
    <mergeCell ref="AN389:AO389"/>
    <mergeCell ref="AP389:AQ389"/>
    <mergeCell ref="AP291:AQ291"/>
    <mergeCell ref="AN323:AO323"/>
    <mergeCell ref="AP323:AQ323"/>
    <mergeCell ref="AN324:AO324"/>
    <mergeCell ref="AP324:AQ324"/>
    <mergeCell ref="AN321:AO321"/>
    <mergeCell ref="AP321:AQ321"/>
    <mergeCell ref="AN322:AO322"/>
    <mergeCell ref="AP322:AQ322"/>
    <mergeCell ref="AM314:AQ315"/>
    <mergeCell ref="AN257:AO257"/>
    <mergeCell ref="AP257:AQ257"/>
    <mergeCell ref="AN258:AO258"/>
    <mergeCell ref="AP258:AQ258"/>
    <mergeCell ref="AN255:AO255"/>
    <mergeCell ref="AP255:AQ255"/>
    <mergeCell ref="AN256:AO256"/>
    <mergeCell ref="AP256:AQ256"/>
    <mergeCell ref="AN254:AO254"/>
    <mergeCell ref="AP254:AQ254"/>
    <mergeCell ref="AN224:AO224"/>
    <mergeCell ref="AP224:AQ224"/>
    <mergeCell ref="AN225:AO225"/>
    <mergeCell ref="AP225:AQ225"/>
    <mergeCell ref="AM246:AQ247"/>
    <mergeCell ref="AM244:AQ245"/>
    <mergeCell ref="AN189:AO189"/>
    <mergeCell ref="AP189:AQ189"/>
    <mergeCell ref="AN190:AO190"/>
    <mergeCell ref="AP190:AQ190"/>
    <mergeCell ref="AN253:AO253"/>
    <mergeCell ref="AP253:AQ253"/>
    <mergeCell ref="AP155:AQ155"/>
    <mergeCell ref="AN187:AO187"/>
    <mergeCell ref="AP187:AQ187"/>
    <mergeCell ref="AN188:AO188"/>
    <mergeCell ref="AP188:AQ188"/>
    <mergeCell ref="AN185:AO185"/>
    <mergeCell ref="AP185:AQ185"/>
    <mergeCell ref="AN186:AO186"/>
    <mergeCell ref="AP186:AQ186"/>
    <mergeCell ref="AM178:AQ179"/>
    <mergeCell ref="AN122:AO122"/>
    <mergeCell ref="AP122:AQ122"/>
    <mergeCell ref="AN123:AO123"/>
    <mergeCell ref="AP123:AQ123"/>
    <mergeCell ref="AN120:AO120"/>
    <mergeCell ref="AP120:AQ120"/>
    <mergeCell ref="AN121:AO121"/>
    <mergeCell ref="AP121:AQ121"/>
    <mergeCell ref="AN118:AO118"/>
    <mergeCell ref="AP118:AQ118"/>
    <mergeCell ref="AN119:AO119"/>
    <mergeCell ref="AP119:AQ119"/>
    <mergeCell ref="AN89:AO89"/>
    <mergeCell ref="AP89:AQ89"/>
    <mergeCell ref="AN117:AO117"/>
    <mergeCell ref="AP117:AQ117"/>
    <mergeCell ref="AM110:AQ111"/>
    <mergeCell ref="AM108:AQ109"/>
    <mergeCell ref="AP87:AQ87"/>
    <mergeCell ref="AN88:AO88"/>
    <mergeCell ref="AP88:AQ88"/>
    <mergeCell ref="AP21:AQ21"/>
    <mergeCell ref="AN83:AO83"/>
    <mergeCell ref="AP83:AQ83"/>
    <mergeCell ref="AN84:AO84"/>
    <mergeCell ref="AP84:AQ84"/>
    <mergeCell ref="AN53:AO53"/>
    <mergeCell ref="AN54:AO54"/>
    <mergeCell ref="AP49:AQ49"/>
    <mergeCell ref="AP50:AQ50"/>
    <mergeCell ref="AP51:AQ51"/>
    <mergeCell ref="AN19:AO19"/>
    <mergeCell ref="AP19:AQ19"/>
    <mergeCell ref="AN20:AO20"/>
    <mergeCell ref="AP20:AQ20"/>
    <mergeCell ref="AP52:AQ52"/>
    <mergeCell ref="AP53:AQ53"/>
    <mergeCell ref="AN17:AO17"/>
    <mergeCell ref="AP17:AQ17"/>
    <mergeCell ref="AN18:AO18"/>
    <mergeCell ref="AP18:AQ18"/>
    <mergeCell ref="AM40:AQ41"/>
    <mergeCell ref="AK25:AQ26"/>
    <mergeCell ref="AM36:AQ36"/>
    <mergeCell ref="AN21:AO21"/>
    <mergeCell ref="AN15:AO15"/>
    <mergeCell ref="AP15:AQ15"/>
    <mergeCell ref="AN16:AO16"/>
    <mergeCell ref="AP16:AQ16"/>
    <mergeCell ref="AP54:AQ54"/>
    <mergeCell ref="AN49:AO49"/>
    <mergeCell ref="AN50:AO50"/>
    <mergeCell ref="AN51:AO51"/>
    <mergeCell ref="AN52:AO52"/>
    <mergeCell ref="AM42:AQ43"/>
    <mergeCell ref="AG465:AJ466"/>
    <mergeCell ref="AK465:AQ466"/>
    <mergeCell ref="AM446:AQ447"/>
    <mergeCell ref="AG431:AJ432"/>
    <mergeCell ref="AK431:AQ432"/>
    <mergeCell ref="AG467:AJ468"/>
    <mergeCell ref="AK467:AQ468"/>
    <mergeCell ref="AH454:AM455"/>
    <mergeCell ref="AH444:AL444"/>
    <mergeCell ref="AM444:AQ444"/>
    <mergeCell ref="D463:F464"/>
    <mergeCell ref="G463:O464"/>
    <mergeCell ref="P463:P464"/>
    <mergeCell ref="Q463:Q464"/>
    <mergeCell ref="S463:U464"/>
    <mergeCell ref="V463:AD464"/>
    <mergeCell ref="AE463:AE464"/>
    <mergeCell ref="AF463:AF464"/>
    <mergeCell ref="AM450:AQ451"/>
    <mergeCell ref="Y452:AG452"/>
    <mergeCell ref="Q453:Q455"/>
    <mergeCell ref="AF453:AF455"/>
    <mergeCell ref="D450:R451"/>
    <mergeCell ref="S450:X451"/>
    <mergeCell ref="Y450:AG451"/>
    <mergeCell ref="AH450:AL451"/>
    <mergeCell ref="D454:P455"/>
    <mergeCell ref="S454:AE455"/>
    <mergeCell ref="S448:X449"/>
    <mergeCell ref="Y448:AG449"/>
    <mergeCell ref="AH448:AL449"/>
    <mergeCell ref="AM448:AQ449"/>
    <mergeCell ref="S446:X447"/>
    <mergeCell ref="Y446:AG447"/>
    <mergeCell ref="AH446:AL447"/>
    <mergeCell ref="AG433:AJ434"/>
    <mergeCell ref="AK433:AQ434"/>
    <mergeCell ref="AN425:AO425"/>
    <mergeCell ref="AP425:AQ425"/>
    <mergeCell ref="AE429:AE430"/>
    <mergeCell ref="AF429:AF430"/>
    <mergeCell ref="AN429:AO429"/>
    <mergeCell ref="D429:F430"/>
    <mergeCell ref="G429:O430"/>
    <mergeCell ref="P429:P430"/>
    <mergeCell ref="Q429:Q430"/>
    <mergeCell ref="S429:U430"/>
    <mergeCell ref="V429:AD430"/>
    <mergeCell ref="AF419:AF421"/>
    <mergeCell ref="AN423:AO423"/>
    <mergeCell ref="AP423:AQ423"/>
    <mergeCell ref="AN424:AO424"/>
    <mergeCell ref="AP424:AQ424"/>
    <mergeCell ref="AN428:AO428"/>
    <mergeCell ref="AP428:AQ428"/>
    <mergeCell ref="D420:P421"/>
    <mergeCell ref="S420:AE421"/>
    <mergeCell ref="AM416:AQ417"/>
    <mergeCell ref="Y418:AG418"/>
    <mergeCell ref="D416:R417"/>
    <mergeCell ref="S416:X417"/>
    <mergeCell ref="Y416:AG417"/>
    <mergeCell ref="AH416:AL417"/>
    <mergeCell ref="AH420:AM421"/>
    <mergeCell ref="Q419:Q421"/>
    <mergeCell ref="S414:X415"/>
    <mergeCell ref="Y414:AG415"/>
    <mergeCell ref="AH414:AL415"/>
    <mergeCell ref="AM414:AQ415"/>
    <mergeCell ref="S412:X413"/>
    <mergeCell ref="Y412:AG413"/>
    <mergeCell ref="AH412:AL413"/>
    <mergeCell ref="AM412:AQ413"/>
    <mergeCell ref="AH410:AL410"/>
    <mergeCell ref="AM410:AQ410"/>
    <mergeCell ref="AF395:AF396"/>
    <mergeCell ref="AG397:AJ398"/>
    <mergeCell ref="AK397:AQ398"/>
    <mergeCell ref="AG399:AJ400"/>
    <mergeCell ref="AK399:AQ400"/>
    <mergeCell ref="AN395:AO395"/>
    <mergeCell ref="AP395:AQ395"/>
    <mergeCell ref="S382:X383"/>
    <mergeCell ref="Y382:AG383"/>
    <mergeCell ref="AH386:AM387"/>
    <mergeCell ref="D395:F396"/>
    <mergeCell ref="G395:O396"/>
    <mergeCell ref="P395:P396"/>
    <mergeCell ref="Q395:Q396"/>
    <mergeCell ref="S395:U396"/>
    <mergeCell ref="V395:AD396"/>
    <mergeCell ref="AE395:AE396"/>
    <mergeCell ref="AH382:AL383"/>
    <mergeCell ref="D386:P387"/>
    <mergeCell ref="S386:AE387"/>
    <mergeCell ref="S380:X381"/>
    <mergeCell ref="Y380:AG381"/>
    <mergeCell ref="AH380:AL381"/>
    <mergeCell ref="Y384:AG384"/>
    <mergeCell ref="Q385:Q387"/>
    <mergeCell ref="AF385:AF387"/>
    <mergeCell ref="D382:R383"/>
    <mergeCell ref="AH376:AL376"/>
    <mergeCell ref="AM376:AQ376"/>
    <mergeCell ref="S378:X379"/>
    <mergeCell ref="Y378:AG379"/>
    <mergeCell ref="AH378:AL379"/>
    <mergeCell ref="AM378:AQ379"/>
    <mergeCell ref="AG363:AJ364"/>
    <mergeCell ref="AK363:AQ364"/>
    <mergeCell ref="AG365:AJ366"/>
    <mergeCell ref="AK365:AQ366"/>
    <mergeCell ref="AN357:AO357"/>
    <mergeCell ref="AP357:AQ357"/>
    <mergeCell ref="AN358:AO358"/>
    <mergeCell ref="AP358:AQ358"/>
    <mergeCell ref="AN359:AO359"/>
    <mergeCell ref="AP359:AQ359"/>
    <mergeCell ref="D361:F362"/>
    <mergeCell ref="G361:O362"/>
    <mergeCell ref="P361:P362"/>
    <mergeCell ref="Q361:Q362"/>
    <mergeCell ref="S361:U362"/>
    <mergeCell ref="V361:AD362"/>
    <mergeCell ref="AE361:AE362"/>
    <mergeCell ref="AF361:AF362"/>
    <mergeCell ref="AF351:AF353"/>
    <mergeCell ref="AN355:AO355"/>
    <mergeCell ref="AP355:AQ355"/>
    <mergeCell ref="AN356:AO356"/>
    <mergeCell ref="AP356:AQ356"/>
    <mergeCell ref="D352:P353"/>
    <mergeCell ref="S352:AE353"/>
    <mergeCell ref="AM348:AQ349"/>
    <mergeCell ref="Y350:AG350"/>
    <mergeCell ref="D348:R349"/>
    <mergeCell ref="S348:X349"/>
    <mergeCell ref="Y348:AG349"/>
    <mergeCell ref="AH348:AL349"/>
    <mergeCell ref="AH352:AM353"/>
    <mergeCell ref="Q351:Q353"/>
    <mergeCell ref="S346:X347"/>
    <mergeCell ref="Y346:AG347"/>
    <mergeCell ref="AH346:AL347"/>
    <mergeCell ref="AM346:AQ347"/>
    <mergeCell ref="S344:X345"/>
    <mergeCell ref="Y344:AG345"/>
    <mergeCell ref="AH344:AL345"/>
    <mergeCell ref="AM344:AQ345"/>
    <mergeCell ref="AH342:AL342"/>
    <mergeCell ref="AM342:AQ342"/>
    <mergeCell ref="AF327:AF328"/>
    <mergeCell ref="AG329:AJ330"/>
    <mergeCell ref="AK329:AQ330"/>
    <mergeCell ref="AG331:AJ332"/>
    <mergeCell ref="AK331:AQ332"/>
    <mergeCell ref="AN327:AO327"/>
    <mergeCell ref="AP327:AQ327"/>
    <mergeCell ref="S314:X315"/>
    <mergeCell ref="Y314:AG315"/>
    <mergeCell ref="AH318:AM319"/>
    <mergeCell ref="D327:F328"/>
    <mergeCell ref="G327:O328"/>
    <mergeCell ref="P327:P328"/>
    <mergeCell ref="Q327:Q328"/>
    <mergeCell ref="S327:U328"/>
    <mergeCell ref="V327:AD328"/>
    <mergeCell ref="AE327:AE328"/>
    <mergeCell ref="AH314:AL315"/>
    <mergeCell ref="D318:P319"/>
    <mergeCell ref="S318:AE319"/>
    <mergeCell ref="S312:X313"/>
    <mergeCell ref="Y312:AG313"/>
    <mergeCell ref="AH312:AL313"/>
    <mergeCell ref="Y316:AG316"/>
    <mergeCell ref="Q317:Q319"/>
    <mergeCell ref="AF317:AF319"/>
    <mergeCell ref="D314:R315"/>
    <mergeCell ref="AM312:AQ313"/>
    <mergeCell ref="AH308:AL308"/>
    <mergeCell ref="AM308:AQ308"/>
    <mergeCell ref="S310:X311"/>
    <mergeCell ref="Y310:AG311"/>
    <mergeCell ref="AH310:AL311"/>
    <mergeCell ref="AM310:AQ311"/>
    <mergeCell ref="AG295:AJ296"/>
    <mergeCell ref="AK295:AQ296"/>
    <mergeCell ref="AG297:AJ298"/>
    <mergeCell ref="AK297:AQ298"/>
    <mergeCell ref="AN289:AO289"/>
    <mergeCell ref="AP289:AQ289"/>
    <mergeCell ref="AN292:AO292"/>
    <mergeCell ref="AP292:AQ292"/>
    <mergeCell ref="AN293:AO293"/>
    <mergeCell ref="AP293:AQ293"/>
    <mergeCell ref="D293:F294"/>
    <mergeCell ref="G293:O294"/>
    <mergeCell ref="P293:P294"/>
    <mergeCell ref="Q293:Q294"/>
    <mergeCell ref="S293:U294"/>
    <mergeCell ref="V293:AD294"/>
    <mergeCell ref="AE293:AE294"/>
    <mergeCell ref="AF293:AF294"/>
    <mergeCell ref="AF283:AF285"/>
    <mergeCell ref="AN287:AO287"/>
    <mergeCell ref="AP287:AQ287"/>
    <mergeCell ref="AN288:AO288"/>
    <mergeCell ref="AP288:AQ288"/>
    <mergeCell ref="AN290:AO290"/>
    <mergeCell ref="AP290:AQ290"/>
    <mergeCell ref="AN291:AO291"/>
    <mergeCell ref="D284:P285"/>
    <mergeCell ref="S284:AE285"/>
    <mergeCell ref="AM280:AQ281"/>
    <mergeCell ref="Y282:AG282"/>
    <mergeCell ref="D280:R281"/>
    <mergeCell ref="S280:X281"/>
    <mergeCell ref="Y280:AG281"/>
    <mergeCell ref="AH280:AL281"/>
    <mergeCell ref="AH284:AM285"/>
    <mergeCell ref="Q283:Q285"/>
    <mergeCell ref="S278:X279"/>
    <mergeCell ref="Y278:AG279"/>
    <mergeCell ref="AH278:AL279"/>
    <mergeCell ref="AM278:AQ279"/>
    <mergeCell ref="S276:X277"/>
    <mergeCell ref="Y276:AG277"/>
    <mergeCell ref="AH276:AL277"/>
    <mergeCell ref="AM276:AQ277"/>
    <mergeCell ref="AH274:AL274"/>
    <mergeCell ref="AM274:AQ274"/>
    <mergeCell ref="AF259:AF260"/>
    <mergeCell ref="AG261:AJ262"/>
    <mergeCell ref="AK261:AQ262"/>
    <mergeCell ref="AG263:AJ264"/>
    <mergeCell ref="AK263:AQ264"/>
    <mergeCell ref="AN259:AO259"/>
    <mergeCell ref="AP259:AQ259"/>
    <mergeCell ref="S246:X247"/>
    <mergeCell ref="Y246:AG247"/>
    <mergeCell ref="AH250:AM251"/>
    <mergeCell ref="D259:F260"/>
    <mergeCell ref="G259:O260"/>
    <mergeCell ref="P259:P260"/>
    <mergeCell ref="Q259:Q260"/>
    <mergeCell ref="S259:U260"/>
    <mergeCell ref="V259:AD260"/>
    <mergeCell ref="AE259:AE260"/>
    <mergeCell ref="AH246:AL247"/>
    <mergeCell ref="D250:P251"/>
    <mergeCell ref="S250:AE251"/>
    <mergeCell ref="S244:X245"/>
    <mergeCell ref="Y244:AG245"/>
    <mergeCell ref="AH244:AL245"/>
    <mergeCell ref="Y248:AG248"/>
    <mergeCell ref="Q249:Q251"/>
    <mergeCell ref="AF249:AF251"/>
    <mergeCell ref="D246:R247"/>
    <mergeCell ref="AH240:AL240"/>
    <mergeCell ref="AM240:AQ240"/>
    <mergeCell ref="S242:X243"/>
    <mergeCell ref="Y242:AG243"/>
    <mergeCell ref="AH242:AL243"/>
    <mergeCell ref="AM242:AQ243"/>
    <mergeCell ref="AG227:AJ228"/>
    <mergeCell ref="AK227:AQ228"/>
    <mergeCell ref="AG229:AJ230"/>
    <mergeCell ref="AK229:AQ230"/>
    <mergeCell ref="AN221:AO221"/>
    <mergeCell ref="AP221:AQ221"/>
    <mergeCell ref="AN222:AO222"/>
    <mergeCell ref="AP222:AQ222"/>
    <mergeCell ref="AN223:AO223"/>
    <mergeCell ref="AP223:AQ223"/>
    <mergeCell ref="D225:F226"/>
    <mergeCell ref="G225:O226"/>
    <mergeCell ref="P225:P226"/>
    <mergeCell ref="Q225:Q226"/>
    <mergeCell ref="S225:U226"/>
    <mergeCell ref="V225:AD226"/>
    <mergeCell ref="AE225:AE226"/>
    <mergeCell ref="AF225:AF226"/>
    <mergeCell ref="AF215:AF217"/>
    <mergeCell ref="AN219:AO219"/>
    <mergeCell ref="AP219:AQ219"/>
    <mergeCell ref="AN220:AO220"/>
    <mergeCell ref="AP220:AQ220"/>
    <mergeCell ref="D216:P217"/>
    <mergeCell ref="S216:AE217"/>
    <mergeCell ref="AM212:AQ213"/>
    <mergeCell ref="Y214:AG214"/>
    <mergeCell ref="D212:R213"/>
    <mergeCell ref="S212:X213"/>
    <mergeCell ref="Y212:AG213"/>
    <mergeCell ref="AH212:AL213"/>
    <mergeCell ref="AH216:AM217"/>
    <mergeCell ref="Q215:Q217"/>
    <mergeCell ref="S210:X211"/>
    <mergeCell ref="Y210:AG211"/>
    <mergeCell ref="AH210:AL211"/>
    <mergeCell ref="AM210:AQ211"/>
    <mergeCell ref="S208:X209"/>
    <mergeCell ref="Y208:AG209"/>
    <mergeCell ref="AH208:AL209"/>
    <mergeCell ref="AM208:AQ209"/>
    <mergeCell ref="AH206:AL206"/>
    <mergeCell ref="AM206:AQ206"/>
    <mergeCell ref="AF191:AF192"/>
    <mergeCell ref="AG193:AJ194"/>
    <mergeCell ref="AK193:AQ194"/>
    <mergeCell ref="AG195:AJ196"/>
    <mergeCell ref="AK195:AQ196"/>
    <mergeCell ref="AN191:AO191"/>
    <mergeCell ref="AP191:AQ191"/>
    <mergeCell ref="S178:X179"/>
    <mergeCell ref="Y178:AG179"/>
    <mergeCell ref="AH182:AM183"/>
    <mergeCell ref="D191:F192"/>
    <mergeCell ref="G191:O192"/>
    <mergeCell ref="P191:P192"/>
    <mergeCell ref="Q191:Q192"/>
    <mergeCell ref="S191:U192"/>
    <mergeCell ref="V191:AD192"/>
    <mergeCell ref="AE191:AE192"/>
    <mergeCell ref="AH178:AL179"/>
    <mergeCell ref="D182:P183"/>
    <mergeCell ref="S182:AE183"/>
    <mergeCell ref="S176:X177"/>
    <mergeCell ref="Y176:AG177"/>
    <mergeCell ref="AH176:AL177"/>
    <mergeCell ref="Y180:AG180"/>
    <mergeCell ref="Q181:Q183"/>
    <mergeCell ref="AF181:AF183"/>
    <mergeCell ref="D178:R179"/>
    <mergeCell ref="AM176:AQ177"/>
    <mergeCell ref="AH172:AL172"/>
    <mergeCell ref="AM172:AQ172"/>
    <mergeCell ref="S174:X175"/>
    <mergeCell ref="Y174:AG175"/>
    <mergeCell ref="AH174:AL175"/>
    <mergeCell ref="AM174:AQ175"/>
    <mergeCell ref="AG159:AJ160"/>
    <mergeCell ref="AK159:AQ160"/>
    <mergeCell ref="AG161:AJ162"/>
    <mergeCell ref="AK161:AQ162"/>
    <mergeCell ref="AN153:AO153"/>
    <mergeCell ref="AP153:AQ153"/>
    <mergeCell ref="AN156:AO156"/>
    <mergeCell ref="AP156:AQ156"/>
    <mergeCell ref="AN157:AO157"/>
    <mergeCell ref="AP157:AQ157"/>
    <mergeCell ref="D157:F158"/>
    <mergeCell ref="G157:O158"/>
    <mergeCell ref="P157:P158"/>
    <mergeCell ref="Q157:Q158"/>
    <mergeCell ref="S157:U158"/>
    <mergeCell ref="V157:AD158"/>
    <mergeCell ref="AE157:AE158"/>
    <mergeCell ref="AF157:AF158"/>
    <mergeCell ref="AF147:AF149"/>
    <mergeCell ref="AN151:AO151"/>
    <mergeCell ref="AP151:AQ151"/>
    <mergeCell ref="AN152:AO152"/>
    <mergeCell ref="AP152:AQ152"/>
    <mergeCell ref="AN154:AO154"/>
    <mergeCell ref="AP154:AQ154"/>
    <mergeCell ref="AN155:AO155"/>
    <mergeCell ref="D148:P149"/>
    <mergeCell ref="S148:AE149"/>
    <mergeCell ref="AM144:AQ145"/>
    <mergeCell ref="Y146:AG146"/>
    <mergeCell ref="D144:R145"/>
    <mergeCell ref="S144:X145"/>
    <mergeCell ref="Y144:AG145"/>
    <mergeCell ref="AH144:AL145"/>
    <mergeCell ref="AH148:AM149"/>
    <mergeCell ref="Q147:Q149"/>
    <mergeCell ref="S142:X143"/>
    <mergeCell ref="Y142:AG143"/>
    <mergeCell ref="AH142:AL143"/>
    <mergeCell ref="AM142:AQ143"/>
    <mergeCell ref="S140:X141"/>
    <mergeCell ref="Y140:AG141"/>
    <mergeCell ref="AH140:AL141"/>
    <mergeCell ref="AM140:AQ141"/>
    <mergeCell ref="AH138:AL138"/>
    <mergeCell ref="AM138:AQ138"/>
    <mergeCell ref="AF123:AF124"/>
    <mergeCell ref="AG125:AJ126"/>
    <mergeCell ref="AK125:AQ126"/>
    <mergeCell ref="AG127:AJ128"/>
    <mergeCell ref="AK127:AQ128"/>
    <mergeCell ref="S110:X111"/>
    <mergeCell ref="Y110:AG111"/>
    <mergeCell ref="AH114:AM115"/>
    <mergeCell ref="D123:F124"/>
    <mergeCell ref="G123:O124"/>
    <mergeCell ref="P123:P124"/>
    <mergeCell ref="Q123:Q124"/>
    <mergeCell ref="S123:U124"/>
    <mergeCell ref="V123:AD124"/>
    <mergeCell ref="AE123:AE124"/>
    <mergeCell ref="AH110:AL111"/>
    <mergeCell ref="D114:P115"/>
    <mergeCell ref="S114:AE115"/>
    <mergeCell ref="S108:X109"/>
    <mergeCell ref="Y108:AG109"/>
    <mergeCell ref="AH108:AL109"/>
    <mergeCell ref="Y112:AG112"/>
    <mergeCell ref="Q113:Q115"/>
    <mergeCell ref="AF113:AF115"/>
    <mergeCell ref="D110:R111"/>
    <mergeCell ref="AH104:AL104"/>
    <mergeCell ref="AM104:AQ104"/>
    <mergeCell ref="S106:X107"/>
    <mergeCell ref="Y106:AG107"/>
    <mergeCell ref="AH106:AL107"/>
    <mergeCell ref="AM106:AQ107"/>
    <mergeCell ref="AG91:AJ92"/>
    <mergeCell ref="AK91:AQ92"/>
    <mergeCell ref="AG93:AJ94"/>
    <mergeCell ref="AK93:AQ94"/>
    <mergeCell ref="S89:U90"/>
    <mergeCell ref="V89:AD90"/>
    <mergeCell ref="AE89:AE90"/>
    <mergeCell ref="AF89:AF90"/>
    <mergeCell ref="D89:F90"/>
    <mergeCell ref="G89:O90"/>
    <mergeCell ref="P89:P90"/>
    <mergeCell ref="Q89:Q90"/>
    <mergeCell ref="AF79:AF81"/>
    <mergeCell ref="AN85:AO85"/>
    <mergeCell ref="AN87:AO87"/>
    <mergeCell ref="AP85:AQ85"/>
    <mergeCell ref="AN86:AO86"/>
    <mergeCell ref="AP86:AQ86"/>
    <mergeCell ref="D80:P81"/>
    <mergeCell ref="S80:AE81"/>
    <mergeCell ref="AM76:AQ77"/>
    <mergeCell ref="Y78:AG78"/>
    <mergeCell ref="D76:R77"/>
    <mergeCell ref="S76:X77"/>
    <mergeCell ref="Y76:AG77"/>
    <mergeCell ref="AH76:AL77"/>
    <mergeCell ref="AH80:AM81"/>
    <mergeCell ref="Q79:Q81"/>
    <mergeCell ref="S74:X75"/>
    <mergeCell ref="Y74:AG75"/>
    <mergeCell ref="AH74:AL75"/>
    <mergeCell ref="AM74:AQ75"/>
    <mergeCell ref="S72:X73"/>
    <mergeCell ref="Y72:AG73"/>
    <mergeCell ref="AH72:AL73"/>
    <mergeCell ref="AM72:AQ73"/>
    <mergeCell ref="AH70:AL70"/>
    <mergeCell ref="AM70:AQ70"/>
    <mergeCell ref="AF55:AF56"/>
    <mergeCell ref="AG57:AJ58"/>
    <mergeCell ref="AK57:AQ58"/>
    <mergeCell ref="AG59:AJ60"/>
    <mergeCell ref="AK59:AQ60"/>
    <mergeCell ref="AN55:AO55"/>
    <mergeCell ref="AP55:AQ55"/>
    <mergeCell ref="S42:X43"/>
    <mergeCell ref="Y42:AG43"/>
    <mergeCell ref="AH46:AM47"/>
    <mergeCell ref="D55:F56"/>
    <mergeCell ref="G55:O56"/>
    <mergeCell ref="P55:P56"/>
    <mergeCell ref="Q55:Q56"/>
    <mergeCell ref="S55:U56"/>
    <mergeCell ref="V55:AD56"/>
    <mergeCell ref="AE55:AE56"/>
    <mergeCell ref="AH42:AL43"/>
    <mergeCell ref="D46:P47"/>
    <mergeCell ref="S46:AE47"/>
    <mergeCell ref="S40:X41"/>
    <mergeCell ref="Y40:AG41"/>
    <mergeCell ref="AH40:AL41"/>
    <mergeCell ref="Y44:AG44"/>
    <mergeCell ref="Q45:Q47"/>
    <mergeCell ref="AF45:AF47"/>
    <mergeCell ref="D42:R43"/>
    <mergeCell ref="S38:X39"/>
    <mergeCell ref="Y38:AG39"/>
    <mergeCell ref="AH38:AL39"/>
    <mergeCell ref="AM38:AQ39"/>
    <mergeCell ref="AF21:AF22"/>
    <mergeCell ref="D21:F22"/>
    <mergeCell ref="AH36:AL36"/>
    <mergeCell ref="AG23:AJ24"/>
    <mergeCell ref="AK23:AQ24"/>
    <mergeCell ref="AG25:AJ26"/>
    <mergeCell ref="AH8:AL9"/>
    <mergeCell ref="G21:O22"/>
    <mergeCell ref="P21:P22"/>
    <mergeCell ref="Q21:Q22"/>
    <mergeCell ref="S12:AE13"/>
    <mergeCell ref="D12:P13"/>
    <mergeCell ref="S21:U22"/>
    <mergeCell ref="V21:AD22"/>
    <mergeCell ref="AE21:AE22"/>
    <mergeCell ref="Q11:Q13"/>
    <mergeCell ref="AF11:AF13"/>
    <mergeCell ref="S6:X7"/>
    <mergeCell ref="Y6:AG7"/>
    <mergeCell ref="AH6:AL7"/>
    <mergeCell ref="AM6:AQ7"/>
    <mergeCell ref="AM8:AQ9"/>
    <mergeCell ref="Y10:AG10"/>
    <mergeCell ref="D8:R9"/>
    <mergeCell ref="S8:X9"/>
    <mergeCell ref="AM482:AQ483"/>
    <mergeCell ref="AH2:AL2"/>
    <mergeCell ref="AM2:AQ2"/>
    <mergeCell ref="S4:X5"/>
    <mergeCell ref="Y4:AG5"/>
    <mergeCell ref="AH4:AL5"/>
    <mergeCell ref="AM4:AQ5"/>
    <mergeCell ref="AH12:AM13"/>
    <mergeCell ref="AH478:AL478"/>
    <mergeCell ref="Y8:AG9"/>
    <mergeCell ref="AM478:AQ478"/>
    <mergeCell ref="D484:R485"/>
    <mergeCell ref="S484:X485"/>
    <mergeCell ref="Y484:AG485"/>
    <mergeCell ref="S482:X483"/>
    <mergeCell ref="Y482:AG483"/>
    <mergeCell ref="S480:X481"/>
    <mergeCell ref="Y480:AG481"/>
    <mergeCell ref="AH480:AL481"/>
    <mergeCell ref="AH482:AL483"/>
    <mergeCell ref="D488:P489"/>
    <mergeCell ref="S488:AE489"/>
    <mergeCell ref="AH488:AM489"/>
    <mergeCell ref="Y486:AG486"/>
    <mergeCell ref="Q487:Q489"/>
    <mergeCell ref="AF487:AF489"/>
    <mergeCell ref="AP494:AQ494"/>
    <mergeCell ref="AN495:AO495"/>
    <mergeCell ref="AH484:AL485"/>
    <mergeCell ref="AP495:AQ495"/>
    <mergeCell ref="AN492:AO492"/>
    <mergeCell ref="AP492:AQ492"/>
    <mergeCell ref="AN493:AO493"/>
    <mergeCell ref="AP493:AQ493"/>
    <mergeCell ref="D497:F498"/>
    <mergeCell ref="G497:O498"/>
    <mergeCell ref="P497:P498"/>
    <mergeCell ref="Q497:Q498"/>
    <mergeCell ref="S497:U498"/>
    <mergeCell ref="V497:AD498"/>
    <mergeCell ref="S514:X515"/>
    <mergeCell ref="Y514:AG515"/>
    <mergeCell ref="AH514:AL515"/>
    <mergeCell ref="AM514:AQ515"/>
    <mergeCell ref="AE497:AE498"/>
    <mergeCell ref="AF497:AF498"/>
    <mergeCell ref="AG499:AJ500"/>
    <mergeCell ref="AK499:AQ500"/>
    <mergeCell ref="AG501:AJ502"/>
    <mergeCell ref="AK501:AQ502"/>
    <mergeCell ref="S516:X517"/>
    <mergeCell ref="Y516:AG517"/>
    <mergeCell ref="AH516:AL517"/>
    <mergeCell ref="AM516:AQ517"/>
    <mergeCell ref="AH518:AL519"/>
    <mergeCell ref="D522:P523"/>
    <mergeCell ref="S522:AE523"/>
    <mergeCell ref="AH522:AM523"/>
    <mergeCell ref="Y520:AG520"/>
    <mergeCell ref="Q521:Q523"/>
    <mergeCell ref="AF521:AF523"/>
    <mergeCell ref="D518:R519"/>
    <mergeCell ref="S518:X519"/>
    <mergeCell ref="Y518:AG519"/>
    <mergeCell ref="D531:F532"/>
    <mergeCell ref="G531:O532"/>
    <mergeCell ref="P531:P532"/>
    <mergeCell ref="Q531:Q532"/>
    <mergeCell ref="S531:U532"/>
    <mergeCell ref="V531:AD532"/>
    <mergeCell ref="AE531:AE532"/>
    <mergeCell ref="AF531:AF532"/>
    <mergeCell ref="AG533:AJ534"/>
    <mergeCell ref="AK533:AQ534"/>
    <mergeCell ref="AG535:AJ536"/>
    <mergeCell ref="AK535:AQ536"/>
    <mergeCell ref="AN531:AO531"/>
    <mergeCell ref="AP531:AQ531"/>
    <mergeCell ref="AU8:AV8"/>
    <mergeCell ref="AX8:AY8"/>
    <mergeCell ref="AU9:AV10"/>
    <mergeCell ref="AX9:AY10"/>
    <mergeCell ref="AW9:AW10"/>
    <mergeCell ref="AH546:AL546"/>
    <mergeCell ref="AM546:AQ546"/>
    <mergeCell ref="AH512:AL512"/>
    <mergeCell ref="AM512:AQ512"/>
    <mergeCell ref="AN494:AO494"/>
    <mergeCell ref="S548:X549"/>
    <mergeCell ref="Y548:AG549"/>
    <mergeCell ref="AH548:AL549"/>
    <mergeCell ref="AM548:AQ549"/>
    <mergeCell ref="S550:X551"/>
    <mergeCell ref="Y550:AG551"/>
    <mergeCell ref="AH550:AL551"/>
    <mergeCell ref="AM550:AQ551"/>
    <mergeCell ref="AM552:AQ553"/>
    <mergeCell ref="Y554:AG554"/>
    <mergeCell ref="Q555:Q557"/>
    <mergeCell ref="AF555:AF557"/>
    <mergeCell ref="D552:R553"/>
    <mergeCell ref="S552:X553"/>
    <mergeCell ref="Y552:AG553"/>
    <mergeCell ref="AH552:AL553"/>
    <mergeCell ref="D556:P557"/>
    <mergeCell ref="S556:AE557"/>
    <mergeCell ref="AH556:AM557"/>
    <mergeCell ref="AN559:AO559"/>
    <mergeCell ref="AP559:AQ559"/>
    <mergeCell ref="AN560:AO560"/>
    <mergeCell ref="AP560:AQ560"/>
    <mergeCell ref="AN561:AO561"/>
    <mergeCell ref="AP561:AQ561"/>
    <mergeCell ref="AN562:AO562"/>
    <mergeCell ref="AP562:AQ562"/>
    <mergeCell ref="AN563:AO563"/>
    <mergeCell ref="AP563:AQ563"/>
    <mergeCell ref="AN564:AO564"/>
    <mergeCell ref="AP564:AQ564"/>
    <mergeCell ref="D565:F566"/>
    <mergeCell ref="G565:O566"/>
    <mergeCell ref="P565:P566"/>
    <mergeCell ref="Q565:Q566"/>
    <mergeCell ref="S565:U566"/>
    <mergeCell ref="V565:AD566"/>
    <mergeCell ref="AE565:AE566"/>
    <mergeCell ref="AF565:AF566"/>
    <mergeCell ref="AN565:AO565"/>
    <mergeCell ref="AP565:AQ565"/>
    <mergeCell ref="AG567:AJ568"/>
    <mergeCell ref="AK567:AQ568"/>
    <mergeCell ref="AG569:AJ570"/>
    <mergeCell ref="AK569:AQ570"/>
    <mergeCell ref="AH580:AL580"/>
    <mergeCell ref="AM580:AQ580"/>
    <mergeCell ref="S582:X583"/>
    <mergeCell ref="Y582:AG583"/>
    <mergeCell ref="AH582:AL583"/>
    <mergeCell ref="AM582:AQ583"/>
    <mergeCell ref="S584:X585"/>
    <mergeCell ref="Y584:AG585"/>
    <mergeCell ref="AH584:AL585"/>
    <mergeCell ref="AM584:AQ585"/>
    <mergeCell ref="AM586:AQ587"/>
    <mergeCell ref="Y588:AG588"/>
    <mergeCell ref="Q589:Q591"/>
    <mergeCell ref="AF589:AF591"/>
    <mergeCell ref="D586:R587"/>
    <mergeCell ref="S586:X587"/>
    <mergeCell ref="Y586:AG587"/>
    <mergeCell ref="AH586:AL587"/>
    <mergeCell ref="D590:P591"/>
    <mergeCell ref="S590:AE591"/>
    <mergeCell ref="AH590:AM591"/>
    <mergeCell ref="AN593:AO593"/>
    <mergeCell ref="AP593:AQ593"/>
    <mergeCell ref="AN594:AO594"/>
    <mergeCell ref="AP594:AQ594"/>
    <mergeCell ref="AN595:AO595"/>
    <mergeCell ref="AP595:AQ595"/>
    <mergeCell ref="AN596:AO596"/>
    <mergeCell ref="AP596:AQ596"/>
    <mergeCell ref="AN597:AO597"/>
    <mergeCell ref="AP597:AQ597"/>
    <mergeCell ref="AN598:AO598"/>
    <mergeCell ref="AP598:AQ598"/>
    <mergeCell ref="D599:F600"/>
    <mergeCell ref="G599:O600"/>
    <mergeCell ref="P599:P600"/>
    <mergeCell ref="Q599:Q600"/>
    <mergeCell ref="S599:U600"/>
    <mergeCell ref="V599:AD600"/>
    <mergeCell ref="AE599:AE600"/>
    <mergeCell ref="AF599:AF600"/>
    <mergeCell ref="AG603:AJ604"/>
    <mergeCell ref="AK603:AQ604"/>
    <mergeCell ref="AN599:AO599"/>
    <mergeCell ref="AP599:AQ599"/>
    <mergeCell ref="AG601:AJ602"/>
    <mergeCell ref="AK601:AQ602"/>
  </mergeCells>
  <phoneticPr fontId="12" type="noConversion"/>
  <pageMargins left="0" right="0" top="0" bottom="0" header="0.51181102362204722" footer="0.51181102362204722"/>
  <pageSetup paperSize="11" fitToHeight="0" orientation="landscape" horizontalDpi="1200" verticalDpi="1200" r:id="rId1"/>
  <headerFooter alignWithMargins="0"/>
  <rowBreaks count="17" manualBreakCount="17">
    <brk id="34" max="16383" man="1"/>
    <brk id="68" max="16383" man="1"/>
    <brk id="102" max="16383" man="1"/>
    <brk id="136" max="16383" man="1"/>
    <brk id="170" max="16383" man="1"/>
    <brk id="204" max="16383" man="1"/>
    <brk id="238" max="16383" man="1"/>
    <brk id="272" max="16383" man="1"/>
    <brk id="306" max="16383" man="1"/>
    <brk id="340" max="16383" man="1"/>
    <brk id="374" max="16383" man="1"/>
    <brk id="408" max="16383" man="1"/>
    <brk id="442" max="16383" man="1"/>
    <brk id="476" max="16383" man="1"/>
    <brk id="510" max="16383" man="1"/>
    <brk id="544" max="16383" man="1"/>
    <brk id="578" max="16383" man="1"/>
  </rowBreaks>
  <colBreaks count="1" manualBreakCount="1"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Anleitung</vt:lpstr>
      <vt:lpstr>Platzierung</vt:lpstr>
      <vt:lpstr>Spielplan</vt:lpstr>
      <vt:lpstr>Kontrollbogen</vt:lpstr>
      <vt:lpstr>Spielkarten</vt:lpstr>
      <vt:lpstr>Platzierung!Druckbereich</vt:lpstr>
      <vt:lpstr>Spielkarten!Druckbereich</vt:lpstr>
      <vt:lpstr>Spielplan!Druckbereich</vt:lpstr>
      <vt:lpstr>Spielplan!Drucktitel</vt:lpstr>
      <vt:lpstr>Spielplan</vt:lpstr>
      <vt:lpstr>Tabelle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2008-09-02T15:57:14Z</cp:lastPrinted>
  <dcterms:created xsi:type="dcterms:W3CDTF">2006-05-16T18:09:25Z</dcterms:created>
  <dcterms:modified xsi:type="dcterms:W3CDTF">2021-09-25T10:14:24Z</dcterms:modified>
  <cp:category>Faustball</cp:category>
</cp:coreProperties>
</file>