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0" windowWidth="20490" windowHeight="6795" tabRatio="442"/>
  </bookViews>
  <sheets>
    <sheet name="Platzierung" sheetId="27" r:id="rId1"/>
    <sheet name="Spielplan" sheetId="25" r:id="rId2"/>
    <sheet name="Kontrollbogen" sheetId="46" r:id="rId3"/>
    <sheet name="Spielbericht" sheetId="47" r:id="rId4"/>
  </sheets>
  <externalReferences>
    <externalReference r:id="rId5"/>
  </externalReferences>
  <definedNames>
    <definedName name="_xlnm.Print_Area" localSheetId="0">Platzierung!#REF!</definedName>
    <definedName name="_xlnm.Print_Area" localSheetId="3">Spielbericht!$A$1:$AH$42</definedName>
    <definedName name="_xlnm.Print_Area" localSheetId="1">Spielplan!$C$1:$BV$173</definedName>
    <definedName name="_xlnm.Print_Titles" localSheetId="0">Platzierung!$1:$6</definedName>
    <definedName name="_xlnm.Print_Titles" localSheetId="1">Spielplan!$1:$2</definedName>
    <definedName name="Mannschaft">Platzierung!$T$21:$T$29</definedName>
    <definedName name="Plan">Spielplan!$A$4:$AT$394</definedName>
    <definedName name="Z_E04F9305_80BC_40B2_992B_1B750C9B7218_.wvu.Cols" localSheetId="3" hidden="1">Spielbericht!$D:$D,Spielbericht!$U:$U,Spielbericht!$AM:$AP</definedName>
    <definedName name="Z_E04F9305_80BC_40B2_992B_1B750C9B7218_.wvu.PrintArea" localSheetId="3" hidden="1">Spielbericht!$A$1:$AH$42</definedName>
    <definedName name="Z_E04F9305_80BC_40B2_992B_1B750C9B7218_.wvu.Rows" localSheetId="3" hidden="1">Spielbericht!$13:$13</definedName>
  </definedNames>
  <calcPr calcId="162913" fullCalcOnLoad="1"/>
</workbook>
</file>

<file path=xl/calcChain.xml><?xml version="1.0" encoding="utf-8"?>
<calcChain xmlns="http://schemas.openxmlformats.org/spreadsheetml/2006/main">
  <c r="AB221" i="25" l="1"/>
  <c r="X221" i="25"/>
  <c r="AD221" i="25"/>
  <c r="Z221" i="25"/>
  <c r="AF221" i="25"/>
  <c r="AH221" i="25"/>
  <c r="K217" i="25"/>
  <c r="K218" i="25"/>
  <c r="K219" i="25"/>
  <c r="K220" i="25"/>
  <c r="K221" i="25"/>
  <c r="K148" i="25"/>
  <c r="K149" i="25"/>
  <c r="K150" i="25"/>
  <c r="K151" i="25"/>
  <c r="AR178" i="25"/>
  <c r="AR177" i="25"/>
  <c r="AR144" i="25"/>
  <c r="AR143" i="25"/>
  <c r="AR142" i="25"/>
  <c r="AR110" i="25"/>
  <c r="AR109" i="25"/>
  <c r="AR108" i="25"/>
  <c r="AR76" i="25"/>
  <c r="AR75" i="25"/>
  <c r="AR74" i="25"/>
  <c r="AR42" i="25"/>
  <c r="AR41" i="25"/>
  <c r="AR40" i="25"/>
  <c r="F183" i="25"/>
  <c r="A183" i="25"/>
  <c r="F184" i="25"/>
  <c r="A184" i="25"/>
  <c r="F185" i="25"/>
  <c r="A185" i="25"/>
  <c r="F186" i="25"/>
  <c r="A186" i="25"/>
  <c r="F187" i="25"/>
  <c r="A187" i="25"/>
  <c r="F188" i="25"/>
  <c r="A188" i="25"/>
  <c r="F189" i="25"/>
  <c r="A189" i="25"/>
  <c r="F190" i="25"/>
  <c r="A190" i="25"/>
  <c r="F191" i="25"/>
  <c r="A191" i="25"/>
  <c r="F192" i="25"/>
  <c r="A192" i="25"/>
  <c r="F193" i="25"/>
  <c r="A193" i="25"/>
  <c r="F194" i="25"/>
  <c r="A194" i="25"/>
  <c r="F195" i="25"/>
  <c r="A195" i="25"/>
  <c r="F196" i="25"/>
  <c r="A196" i="25"/>
  <c r="F197" i="25"/>
  <c r="A197" i="25"/>
  <c r="F198" i="25"/>
  <c r="A198" i="25"/>
  <c r="F199" i="25"/>
  <c r="A199" i="25"/>
  <c r="F200" i="25"/>
  <c r="A200" i="25"/>
  <c r="F201" i="25"/>
  <c r="A201" i="25"/>
  <c r="F202" i="25"/>
  <c r="A202" i="25"/>
  <c r="F203" i="25"/>
  <c r="A203" i="25"/>
  <c r="F204" i="25"/>
  <c r="A204" i="25"/>
  <c r="F205" i="25"/>
  <c r="A205" i="25"/>
  <c r="F82" i="25"/>
  <c r="A82" i="25"/>
  <c r="F83" i="25"/>
  <c r="A83" i="25"/>
  <c r="F84" i="25"/>
  <c r="A84" i="25"/>
  <c r="F85" i="25"/>
  <c r="A85" i="25"/>
  <c r="F86" i="25"/>
  <c r="A86" i="25"/>
  <c r="F87" i="25"/>
  <c r="A87" i="25"/>
  <c r="F88" i="25"/>
  <c r="A88" i="25"/>
  <c r="F89" i="25"/>
  <c r="A89" i="25"/>
  <c r="F90" i="25"/>
  <c r="A90" i="25"/>
  <c r="F91" i="25"/>
  <c r="A91" i="25"/>
  <c r="F92" i="25"/>
  <c r="A92" i="25"/>
  <c r="F93" i="25"/>
  <c r="A93" i="25"/>
  <c r="F94" i="25"/>
  <c r="A94" i="25"/>
  <c r="F95" i="25"/>
  <c r="A95" i="25"/>
  <c r="F96" i="25"/>
  <c r="F97" i="25"/>
  <c r="A97" i="25"/>
  <c r="F98" i="25"/>
  <c r="A98" i="25"/>
  <c r="F99" i="25"/>
  <c r="A99" i="25"/>
  <c r="F100" i="25"/>
  <c r="A100" i="25"/>
  <c r="F101" i="25"/>
  <c r="A101" i="25"/>
  <c r="F102" i="25"/>
  <c r="A102" i="25"/>
  <c r="F103" i="25"/>
  <c r="A103" i="25"/>
  <c r="F110" i="25"/>
  <c r="A110" i="25"/>
  <c r="F111" i="25"/>
  <c r="A111" i="25"/>
  <c r="F112" i="25"/>
  <c r="A112" i="25"/>
  <c r="F113" i="25"/>
  <c r="A113" i="25"/>
  <c r="F114" i="25"/>
  <c r="A114" i="25"/>
  <c r="F115" i="25"/>
  <c r="A115" i="25"/>
  <c r="F116" i="25"/>
  <c r="A116" i="25"/>
  <c r="F117" i="25"/>
  <c r="A117" i="25"/>
  <c r="F118" i="25"/>
  <c r="A118" i="25"/>
  <c r="F119" i="25"/>
  <c r="A119" i="25"/>
  <c r="F120" i="25"/>
  <c r="A120" i="25"/>
  <c r="F121" i="25"/>
  <c r="A121" i="25"/>
  <c r="F122" i="25"/>
  <c r="A122" i="25"/>
  <c r="F123" i="25"/>
  <c r="F124" i="25"/>
  <c r="A124" i="25"/>
  <c r="F125" i="25"/>
  <c r="A125" i="25"/>
  <c r="F126" i="25"/>
  <c r="A126" i="25"/>
  <c r="F127" i="25"/>
  <c r="A127" i="25"/>
  <c r="F128" i="25"/>
  <c r="A128" i="25"/>
  <c r="F129" i="25"/>
  <c r="A129" i="25"/>
  <c r="F130" i="25"/>
  <c r="A130" i="25"/>
  <c r="F131" i="25"/>
  <c r="A131" i="25"/>
  <c r="F132" i="25"/>
  <c r="A132" i="25"/>
  <c r="F133" i="25"/>
  <c r="A133" i="25"/>
  <c r="F134" i="25"/>
  <c r="A134" i="25"/>
  <c r="F135" i="25"/>
  <c r="F136" i="25"/>
  <c r="A136" i="25"/>
  <c r="F137" i="25"/>
  <c r="A137" i="25"/>
  <c r="F147" i="25"/>
  <c r="A147" i="25"/>
  <c r="F148" i="25"/>
  <c r="A148" i="25"/>
  <c r="F149" i="25"/>
  <c r="A149" i="25"/>
  <c r="F150" i="25"/>
  <c r="A150" i="25"/>
  <c r="F151" i="25"/>
  <c r="A151" i="25"/>
  <c r="F152" i="25"/>
  <c r="A152" i="25"/>
  <c r="F153" i="25"/>
  <c r="A153" i="25"/>
  <c r="F154" i="25"/>
  <c r="A154" i="25"/>
  <c r="F155" i="25"/>
  <c r="A155" i="25"/>
  <c r="F156" i="25"/>
  <c r="A156" i="25"/>
  <c r="F157" i="25"/>
  <c r="A157" i="25"/>
  <c r="F158" i="25"/>
  <c r="A158" i="25"/>
  <c r="F159" i="25"/>
  <c r="A159" i="25"/>
  <c r="F160" i="25"/>
  <c r="A160" i="25"/>
  <c r="F161" i="25"/>
  <c r="A161" i="25"/>
  <c r="F162" i="25"/>
  <c r="A162" i="25"/>
  <c r="F163" i="25"/>
  <c r="A163" i="25"/>
  <c r="F164" i="25"/>
  <c r="A164" i="25"/>
  <c r="F165" i="25"/>
  <c r="A165" i="25"/>
  <c r="F166" i="25"/>
  <c r="A166" i="25"/>
  <c r="F167" i="25"/>
  <c r="A167" i="25"/>
  <c r="F168" i="25"/>
  <c r="A168" i="25"/>
  <c r="F169" i="25"/>
  <c r="A169" i="25"/>
  <c r="F170" i="25"/>
  <c r="A170" i="25"/>
  <c r="F171" i="25"/>
  <c r="A171" i="25"/>
  <c r="AR8" i="25"/>
  <c r="AR7" i="25"/>
  <c r="AR6" i="25"/>
  <c r="AR176" i="25"/>
  <c r="AJ205" i="25"/>
  <c r="AH205" i="25"/>
  <c r="AF205" i="25"/>
  <c r="AD205" i="25"/>
  <c r="AB205" i="25"/>
  <c r="Z205" i="25"/>
  <c r="X205" i="25"/>
  <c r="M205" i="25"/>
  <c r="K205" i="25"/>
  <c r="G205" i="25"/>
  <c r="B205" i="25"/>
  <c r="AJ204" i="25"/>
  <c r="AH204" i="25"/>
  <c r="AF204" i="25"/>
  <c r="AD204" i="25"/>
  <c r="AB204" i="25"/>
  <c r="Z204" i="25"/>
  <c r="X204" i="25"/>
  <c r="M204" i="25"/>
  <c r="K204" i="25"/>
  <c r="G204" i="25"/>
  <c r="B204" i="25"/>
  <c r="AJ203" i="25"/>
  <c r="AH203" i="25"/>
  <c r="AF203" i="25"/>
  <c r="AD203" i="25"/>
  <c r="AB203" i="25"/>
  <c r="Z203" i="25"/>
  <c r="X203" i="25"/>
  <c r="M203" i="25"/>
  <c r="K203" i="25"/>
  <c r="G203" i="25"/>
  <c r="B203" i="25"/>
  <c r="AJ202" i="25"/>
  <c r="AH202" i="25"/>
  <c r="AF202" i="25"/>
  <c r="AD202" i="25"/>
  <c r="AB202" i="25"/>
  <c r="Z202" i="25"/>
  <c r="X202" i="25"/>
  <c r="M202" i="25"/>
  <c r="K202" i="25"/>
  <c r="G202" i="25"/>
  <c r="B202" i="25"/>
  <c r="AJ201" i="25"/>
  <c r="AH201" i="25"/>
  <c r="AF201" i="25"/>
  <c r="AD201" i="25"/>
  <c r="AB201" i="25"/>
  <c r="Z201" i="25"/>
  <c r="X201" i="25"/>
  <c r="M201" i="25"/>
  <c r="K201" i="25"/>
  <c r="G201" i="25"/>
  <c r="B201" i="25"/>
  <c r="AJ200" i="25"/>
  <c r="AH200" i="25"/>
  <c r="AF200" i="25"/>
  <c r="AD200" i="25"/>
  <c r="AB200" i="25"/>
  <c r="Z200" i="25"/>
  <c r="X200" i="25"/>
  <c r="M200" i="25"/>
  <c r="K200" i="25"/>
  <c r="G200" i="25"/>
  <c r="B200" i="25"/>
  <c r="AJ199" i="25"/>
  <c r="AH199" i="25"/>
  <c r="AF199" i="25"/>
  <c r="AD199" i="25"/>
  <c r="AB199" i="25"/>
  <c r="Z199" i="25"/>
  <c r="X199" i="25"/>
  <c r="M199" i="25"/>
  <c r="K199" i="25"/>
  <c r="G199" i="25"/>
  <c r="B199" i="25"/>
  <c r="AJ198" i="25"/>
  <c r="AH198" i="25"/>
  <c r="AF198" i="25"/>
  <c r="AD198" i="25"/>
  <c r="AB198" i="25"/>
  <c r="Z198" i="25"/>
  <c r="X198" i="25"/>
  <c r="M198" i="25"/>
  <c r="K198" i="25"/>
  <c r="G198" i="25"/>
  <c r="B198" i="25"/>
  <c r="AJ197" i="25"/>
  <c r="AH197" i="25"/>
  <c r="AF197" i="25"/>
  <c r="AD197" i="25"/>
  <c r="AB197" i="25"/>
  <c r="Z197" i="25"/>
  <c r="X197" i="25"/>
  <c r="M197" i="25"/>
  <c r="K197" i="25"/>
  <c r="G197" i="25"/>
  <c r="B197" i="25"/>
  <c r="AJ196" i="25"/>
  <c r="AH196" i="25"/>
  <c r="AF196" i="25"/>
  <c r="AD196" i="25"/>
  <c r="AB196" i="25"/>
  <c r="Z196" i="25"/>
  <c r="X196" i="25"/>
  <c r="M196" i="25"/>
  <c r="K196" i="25"/>
  <c r="G196" i="25"/>
  <c r="B196" i="25"/>
  <c r="AJ195" i="25"/>
  <c r="AH195" i="25"/>
  <c r="AF195" i="25"/>
  <c r="AD195" i="25"/>
  <c r="AB195" i="25"/>
  <c r="Z195" i="25"/>
  <c r="X195" i="25"/>
  <c r="M195" i="25"/>
  <c r="K195" i="25"/>
  <c r="G195" i="25"/>
  <c r="B195" i="25"/>
  <c r="AJ194" i="25"/>
  <c r="AH194" i="25"/>
  <c r="AF194" i="25"/>
  <c r="AD194" i="25"/>
  <c r="AB194" i="25"/>
  <c r="Z194" i="25"/>
  <c r="X194" i="25"/>
  <c r="M194" i="25"/>
  <c r="K194" i="25"/>
  <c r="G194" i="25"/>
  <c r="B194" i="25"/>
  <c r="AJ193" i="25"/>
  <c r="AH193" i="25"/>
  <c r="AF193" i="25"/>
  <c r="AD193" i="25"/>
  <c r="AB193" i="25"/>
  <c r="Z193" i="25"/>
  <c r="X193" i="25"/>
  <c r="M193" i="25"/>
  <c r="K193" i="25"/>
  <c r="G193" i="25"/>
  <c r="B193" i="25"/>
  <c r="AJ192" i="25"/>
  <c r="AH192" i="25"/>
  <c r="AF192" i="25"/>
  <c r="AD192" i="25"/>
  <c r="AB192" i="25"/>
  <c r="Z192" i="25"/>
  <c r="X192" i="25"/>
  <c r="M192" i="25"/>
  <c r="K192" i="25"/>
  <c r="G192" i="25"/>
  <c r="B192" i="25"/>
  <c r="AJ191" i="25"/>
  <c r="AH191" i="25"/>
  <c r="AF191" i="25"/>
  <c r="AD191" i="25"/>
  <c r="AB191" i="25"/>
  <c r="Z191" i="25"/>
  <c r="X191" i="25"/>
  <c r="B191" i="25"/>
  <c r="AJ190" i="25"/>
  <c r="AH190" i="25"/>
  <c r="AF190" i="25"/>
  <c r="AD190" i="25"/>
  <c r="AB190" i="25"/>
  <c r="Z190" i="25"/>
  <c r="X190" i="25"/>
  <c r="B190" i="25"/>
  <c r="AJ189" i="25"/>
  <c r="AH189" i="25"/>
  <c r="AF189" i="25"/>
  <c r="AD189" i="25"/>
  <c r="AB189" i="25"/>
  <c r="Z189" i="25"/>
  <c r="X189" i="25"/>
  <c r="B189" i="25"/>
  <c r="AJ188" i="25"/>
  <c r="AH188" i="25"/>
  <c r="AF188" i="25"/>
  <c r="AD188" i="25"/>
  <c r="AB188" i="25"/>
  <c r="Z188" i="25"/>
  <c r="X188" i="25"/>
  <c r="B188" i="25"/>
  <c r="AJ187" i="25"/>
  <c r="AH187" i="25"/>
  <c r="AF187" i="25"/>
  <c r="AD187" i="25"/>
  <c r="AB187" i="25"/>
  <c r="Z187" i="25"/>
  <c r="X187" i="25"/>
  <c r="B187" i="25"/>
  <c r="AJ186" i="25"/>
  <c r="AH186" i="25"/>
  <c r="AF186" i="25"/>
  <c r="AD186" i="25"/>
  <c r="AB186" i="25"/>
  <c r="Z186" i="25"/>
  <c r="X186" i="25"/>
  <c r="B186" i="25"/>
  <c r="AJ185" i="25"/>
  <c r="AH185" i="25"/>
  <c r="AF185" i="25"/>
  <c r="AD185" i="25"/>
  <c r="AB185" i="25"/>
  <c r="Z185" i="25"/>
  <c r="X185" i="25"/>
  <c r="M185" i="25"/>
  <c r="B185" i="25"/>
  <c r="AJ184" i="25"/>
  <c r="AH184" i="25"/>
  <c r="AF184" i="25"/>
  <c r="AD184" i="25"/>
  <c r="AB184" i="25"/>
  <c r="Z184" i="25"/>
  <c r="B184" i="25"/>
  <c r="AJ183" i="25"/>
  <c r="AH183" i="25"/>
  <c r="AF183" i="25"/>
  <c r="AD183" i="25"/>
  <c r="AB183" i="25"/>
  <c r="Z183" i="25"/>
  <c r="X183" i="25"/>
  <c r="B183" i="25"/>
  <c r="AJ182" i="25"/>
  <c r="AH182" i="25"/>
  <c r="AF182" i="25"/>
  <c r="AD182" i="25"/>
  <c r="AB182" i="25"/>
  <c r="Z182" i="25"/>
  <c r="X182" i="25"/>
  <c r="F182" i="25"/>
  <c r="A182" i="25"/>
  <c r="B182" i="25"/>
  <c r="AJ181" i="25"/>
  <c r="AH181" i="25"/>
  <c r="AF181" i="25"/>
  <c r="AD181" i="25"/>
  <c r="Z181" i="25"/>
  <c r="AB181" i="25"/>
  <c r="F181" i="25"/>
  <c r="A181" i="25"/>
  <c r="B181" i="25"/>
  <c r="AJ180" i="25"/>
  <c r="AH180" i="25"/>
  <c r="AF180" i="25"/>
  <c r="AD180" i="25"/>
  <c r="AB180" i="25"/>
  <c r="Z180" i="25"/>
  <c r="X180" i="25"/>
  <c r="F180" i="25"/>
  <c r="A180" i="25"/>
  <c r="B180" i="25"/>
  <c r="AJ179" i="25"/>
  <c r="AH179" i="25"/>
  <c r="AF179" i="25"/>
  <c r="AD179" i="25"/>
  <c r="AB179" i="25"/>
  <c r="Z179" i="25"/>
  <c r="X179" i="25"/>
  <c r="F179" i="25"/>
  <c r="A179" i="25"/>
  <c r="B179" i="25"/>
  <c r="AJ178" i="25"/>
  <c r="AH178" i="25"/>
  <c r="AF178" i="25"/>
  <c r="AD178" i="25"/>
  <c r="AB178" i="25"/>
  <c r="Z178" i="25"/>
  <c r="X178" i="25"/>
  <c r="F178" i="25"/>
  <c r="A178" i="25"/>
  <c r="B178" i="25"/>
  <c r="AJ177" i="25"/>
  <c r="AH177" i="25"/>
  <c r="AF177" i="25"/>
  <c r="AD177" i="25"/>
  <c r="Z177" i="25"/>
  <c r="AB177" i="25"/>
  <c r="F177" i="25"/>
  <c r="A177" i="25"/>
  <c r="B177" i="25"/>
  <c r="BU176" i="25"/>
  <c r="AJ176" i="25"/>
  <c r="AH176" i="25"/>
  <c r="AF176" i="25"/>
  <c r="AD176" i="25"/>
  <c r="AB176" i="25"/>
  <c r="Z176" i="25"/>
  <c r="X176" i="25"/>
  <c r="F176" i="25"/>
  <c r="A176" i="25"/>
  <c r="B176" i="25"/>
  <c r="BU109" i="25"/>
  <c r="BU75" i="25"/>
  <c r="BU74" i="25"/>
  <c r="BU41" i="25"/>
  <c r="BU40" i="25"/>
  <c r="BU142" i="25"/>
  <c r="BU108" i="25"/>
  <c r="BU7" i="25"/>
  <c r="BU6" i="25"/>
  <c r="D3" i="46"/>
  <c r="A21" i="46"/>
  <c r="AN7" i="25"/>
  <c r="K111" i="25"/>
  <c r="K113" i="25"/>
  <c r="A20" i="46"/>
  <c r="A19" i="46"/>
  <c r="A18" i="46"/>
  <c r="A17" i="46"/>
  <c r="K211" i="25"/>
  <c r="K212" i="25"/>
  <c r="K213" i="25"/>
  <c r="K214" i="25"/>
  <c r="K215" i="25"/>
  <c r="K216" i="25"/>
  <c r="K222" i="25"/>
  <c r="K223" i="25"/>
  <c r="K224" i="25"/>
  <c r="K225" i="25"/>
  <c r="K226" i="25"/>
  <c r="K227" i="25"/>
  <c r="K228" i="25"/>
  <c r="K229" i="25"/>
  <c r="K230" i="25"/>
  <c r="K231" i="25"/>
  <c r="K232" i="25"/>
  <c r="K233" i="25"/>
  <c r="K234" i="25"/>
  <c r="K235" i="25"/>
  <c r="K236" i="25"/>
  <c r="K237" i="25"/>
  <c r="K238" i="25"/>
  <c r="K239" i="25"/>
  <c r="M211" i="25"/>
  <c r="M212" i="25"/>
  <c r="M213" i="25"/>
  <c r="M214" i="25"/>
  <c r="M215" i="25"/>
  <c r="M216" i="25"/>
  <c r="M217" i="25"/>
  <c r="M218" i="25"/>
  <c r="M219" i="25"/>
  <c r="M220" i="25"/>
  <c r="M221" i="25"/>
  <c r="M222" i="25"/>
  <c r="M223" i="25"/>
  <c r="M224" i="25"/>
  <c r="M225" i="25"/>
  <c r="M226" i="25"/>
  <c r="M227" i="25"/>
  <c r="M228" i="25"/>
  <c r="M229" i="25"/>
  <c r="M230" i="25"/>
  <c r="M231" i="25"/>
  <c r="M232" i="25"/>
  <c r="M233" i="25"/>
  <c r="M234" i="25"/>
  <c r="M235" i="25"/>
  <c r="M236" i="25"/>
  <c r="M237" i="25"/>
  <c r="M238" i="25"/>
  <c r="M239" i="25"/>
  <c r="M210" i="25"/>
  <c r="K210" i="25"/>
  <c r="K158" i="25"/>
  <c r="K159" i="25"/>
  <c r="K160" i="25"/>
  <c r="K161" i="25"/>
  <c r="K162" i="25"/>
  <c r="K163" i="25"/>
  <c r="K164" i="25"/>
  <c r="K165" i="25"/>
  <c r="K166" i="25"/>
  <c r="K167" i="25"/>
  <c r="K168" i="25"/>
  <c r="K169" i="25"/>
  <c r="K170" i="25"/>
  <c r="K171" i="25"/>
  <c r="M158" i="25"/>
  <c r="M159" i="25"/>
  <c r="M160" i="25"/>
  <c r="M161" i="25"/>
  <c r="M162" i="25"/>
  <c r="M163" i="25"/>
  <c r="M164" i="25"/>
  <c r="M165" i="25"/>
  <c r="M166" i="25"/>
  <c r="M167" i="25"/>
  <c r="M168" i="25"/>
  <c r="M169" i="25"/>
  <c r="M170" i="25"/>
  <c r="M171" i="25"/>
  <c r="M122" i="25"/>
  <c r="M123" i="25"/>
  <c r="M124" i="25"/>
  <c r="M125" i="25"/>
  <c r="M126" i="25"/>
  <c r="M127" i="25"/>
  <c r="M128" i="25"/>
  <c r="M129" i="25"/>
  <c r="M130" i="25"/>
  <c r="M131" i="25"/>
  <c r="M132" i="25"/>
  <c r="M133" i="25"/>
  <c r="M134" i="25"/>
  <c r="M135" i="25"/>
  <c r="M136" i="25"/>
  <c r="M137" i="25"/>
  <c r="K122" i="25"/>
  <c r="K123" i="25"/>
  <c r="K124" i="25"/>
  <c r="K125" i="25"/>
  <c r="K126" i="25"/>
  <c r="K127" i="25"/>
  <c r="K128" i="25"/>
  <c r="K129" i="25"/>
  <c r="K130" i="25"/>
  <c r="K131" i="25"/>
  <c r="K132" i="25"/>
  <c r="K133" i="25"/>
  <c r="K134" i="25"/>
  <c r="K135" i="25"/>
  <c r="K136" i="25"/>
  <c r="K137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M102" i="25"/>
  <c r="M103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10" i="25"/>
  <c r="B143" i="25"/>
  <c r="B144" i="25"/>
  <c r="B145" i="25"/>
  <c r="B146" i="25"/>
  <c r="B147" i="25"/>
  <c r="B148" i="25"/>
  <c r="B150" i="25"/>
  <c r="B152" i="25"/>
  <c r="B154" i="25"/>
  <c r="B149" i="25"/>
  <c r="B155" i="25"/>
  <c r="B156" i="25"/>
  <c r="B151" i="25"/>
  <c r="B153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42" i="25"/>
  <c r="B112" i="25"/>
  <c r="B109" i="25"/>
  <c r="B111" i="25"/>
  <c r="B110" i="25"/>
  <c r="B114" i="25"/>
  <c r="B115" i="25"/>
  <c r="B119" i="25"/>
  <c r="B113" i="25"/>
  <c r="B120" i="25"/>
  <c r="B116" i="25"/>
  <c r="B121" i="25"/>
  <c r="B118" i="25"/>
  <c r="B117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08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40" i="25"/>
  <c r="B75" i="25"/>
  <c r="B76" i="25"/>
  <c r="B77" i="25"/>
  <c r="B78" i="25"/>
  <c r="B79" i="25"/>
  <c r="B80" i="25"/>
  <c r="B81" i="25"/>
  <c r="B83" i="25"/>
  <c r="B84" i="25"/>
  <c r="B85" i="25"/>
  <c r="B86" i="25"/>
  <c r="B82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74" i="25"/>
  <c r="AH211" i="25"/>
  <c r="AH212" i="25"/>
  <c r="AH213" i="25"/>
  <c r="AH214" i="25"/>
  <c r="AH215" i="25"/>
  <c r="AH216" i="25"/>
  <c r="AH217" i="25"/>
  <c r="AH218" i="25"/>
  <c r="AH219" i="25"/>
  <c r="AH220" i="25"/>
  <c r="AH222" i="25"/>
  <c r="AH223" i="25"/>
  <c r="AH224" i="25"/>
  <c r="AH225" i="25"/>
  <c r="AH226" i="25"/>
  <c r="AH227" i="25"/>
  <c r="AH228" i="25"/>
  <c r="AH229" i="25"/>
  <c r="AH230" i="25"/>
  <c r="AH231" i="25"/>
  <c r="AH232" i="25"/>
  <c r="AH233" i="25"/>
  <c r="AH234" i="25"/>
  <c r="AH235" i="25"/>
  <c r="AH236" i="25"/>
  <c r="AH237" i="25"/>
  <c r="AH238" i="25"/>
  <c r="AH239" i="25"/>
  <c r="AF211" i="25"/>
  <c r="AF212" i="25"/>
  <c r="AF213" i="25"/>
  <c r="AF214" i="25"/>
  <c r="AF215" i="25"/>
  <c r="AF216" i="25"/>
  <c r="AF217" i="25"/>
  <c r="AF218" i="25"/>
  <c r="AF219" i="25"/>
  <c r="AF220" i="25"/>
  <c r="AF222" i="25"/>
  <c r="AF223" i="25"/>
  <c r="AF224" i="25"/>
  <c r="AF225" i="25"/>
  <c r="AF226" i="25"/>
  <c r="AF227" i="25"/>
  <c r="AF228" i="25"/>
  <c r="AF229" i="25"/>
  <c r="AF230" i="25"/>
  <c r="AF231" i="25"/>
  <c r="AF232" i="25"/>
  <c r="AF233" i="25"/>
  <c r="AF234" i="25"/>
  <c r="AF235" i="25"/>
  <c r="AF236" i="25"/>
  <c r="AF237" i="25"/>
  <c r="AF238" i="25"/>
  <c r="AF239" i="25"/>
  <c r="AD211" i="25"/>
  <c r="Z211" i="25"/>
  <c r="AD212" i="25"/>
  <c r="AD213" i="25"/>
  <c r="AD214" i="25"/>
  <c r="AD215" i="25"/>
  <c r="AD216" i="25"/>
  <c r="AD217" i="25"/>
  <c r="AD218" i="25"/>
  <c r="AD219" i="25"/>
  <c r="AD220" i="25"/>
  <c r="AD222" i="25"/>
  <c r="AD223" i="25"/>
  <c r="AD224" i="25"/>
  <c r="AD225" i="25"/>
  <c r="AD226" i="25"/>
  <c r="AD227" i="25"/>
  <c r="AD228" i="25"/>
  <c r="AD229" i="25"/>
  <c r="AD230" i="25"/>
  <c r="AD231" i="25"/>
  <c r="AD232" i="25"/>
  <c r="AD233" i="25"/>
  <c r="AD234" i="25"/>
  <c r="AD235" i="25"/>
  <c r="AD236" i="25"/>
  <c r="AD237" i="25"/>
  <c r="AD238" i="25"/>
  <c r="AD239" i="25"/>
  <c r="AB211" i="25"/>
  <c r="AB212" i="25"/>
  <c r="AB213" i="25"/>
  <c r="AB214" i="25"/>
  <c r="AB215" i="25"/>
  <c r="AB216" i="25"/>
  <c r="AB217" i="25"/>
  <c r="AB218" i="25"/>
  <c r="AB219" i="25"/>
  <c r="AB220" i="25"/>
  <c r="AB222" i="25"/>
  <c r="AB223" i="25"/>
  <c r="AB224" i="25"/>
  <c r="AB225" i="25"/>
  <c r="AB226" i="25"/>
  <c r="AB227" i="25"/>
  <c r="AB228" i="25"/>
  <c r="AB229" i="25"/>
  <c r="AB230" i="25"/>
  <c r="AB231" i="25"/>
  <c r="AB232" i="25"/>
  <c r="AB233" i="25"/>
  <c r="AB234" i="25"/>
  <c r="AB235" i="25"/>
  <c r="AB236" i="25"/>
  <c r="AB237" i="25"/>
  <c r="AB238" i="25"/>
  <c r="AB239" i="25"/>
  <c r="Z212" i="25"/>
  <c r="Z213" i="25"/>
  <c r="Z214" i="25"/>
  <c r="Z215" i="25"/>
  <c r="Z216" i="25"/>
  <c r="Z217" i="25"/>
  <c r="Z218" i="25"/>
  <c r="Z219" i="25"/>
  <c r="Z220" i="25"/>
  <c r="Z222" i="25"/>
  <c r="Z223" i="25"/>
  <c r="Z224" i="25"/>
  <c r="Z225" i="25"/>
  <c r="Z226" i="25"/>
  <c r="Z227" i="25"/>
  <c r="Z228" i="25"/>
  <c r="Z229" i="25"/>
  <c r="Z230" i="25"/>
  <c r="Z231" i="25"/>
  <c r="Z232" i="25"/>
  <c r="Z233" i="25"/>
  <c r="Z234" i="25"/>
  <c r="Z235" i="25"/>
  <c r="Z236" i="25"/>
  <c r="Z237" i="25"/>
  <c r="Z238" i="25"/>
  <c r="Z239" i="25"/>
  <c r="X212" i="25"/>
  <c r="X213" i="25"/>
  <c r="X214" i="25"/>
  <c r="X215" i="25"/>
  <c r="X216" i="25"/>
  <c r="X217" i="25"/>
  <c r="X218" i="25"/>
  <c r="X219" i="25"/>
  <c r="X220" i="25"/>
  <c r="X222" i="25"/>
  <c r="X223" i="25"/>
  <c r="X224" i="25"/>
  <c r="X225" i="25"/>
  <c r="X226" i="25"/>
  <c r="X227" i="25"/>
  <c r="X228" i="25"/>
  <c r="X229" i="25"/>
  <c r="X230" i="25"/>
  <c r="X231" i="25"/>
  <c r="X232" i="25"/>
  <c r="X233" i="25"/>
  <c r="X234" i="25"/>
  <c r="X235" i="25"/>
  <c r="X236" i="25"/>
  <c r="X237" i="25"/>
  <c r="X238" i="25"/>
  <c r="X239" i="25"/>
  <c r="AH210" i="25"/>
  <c r="AF210" i="25"/>
  <c r="AD210" i="25"/>
  <c r="AB210" i="25"/>
  <c r="Z210" i="25"/>
  <c r="X210" i="25"/>
  <c r="AH143" i="25"/>
  <c r="AH144" i="25"/>
  <c r="AH145" i="25"/>
  <c r="AH146" i="25"/>
  <c r="AH147" i="25"/>
  <c r="AH148" i="25"/>
  <c r="AH150" i="25"/>
  <c r="AH152" i="25"/>
  <c r="AH154" i="25"/>
  <c r="AH149" i="25"/>
  <c r="AH155" i="25"/>
  <c r="AH156" i="25"/>
  <c r="AH151" i="25"/>
  <c r="AH153" i="25"/>
  <c r="AH157" i="25"/>
  <c r="AH158" i="25"/>
  <c r="AH159" i="25"/>
  <c r="AH160" i="25"/>
  <c r="AH161" i="25"/>
  <c r="AH162" i="25"/>
  <c r="AH163" i="25"/>
  <c r="AH164" i="25"/>
  <c r="AH165" i="25"/>
  <c r="AH166" i="25"/>
  <c r="AH167" i="25"/>
  <c r="AH168" i="25"/>
  <c r="AH169" i="25"/>
  <c r="AH170" i="25"/>
  <c r="AH171" i="25"/>
  <c r="AF143" i="25"/>
  <c r="AF144" i="25"/>
  <c r="AF145" i="25"/>
  <c r="AF146" i="25"/>
  <c r="AF147" i="25"/>
  <c r="AF148" i="25"/>
  <c r="AF150" i="25"/>
  <c r="AF152" i="25"/>
  <c r="AF154" i="25"/>
  <c r="AF149" i="25"/>
  <c r="AF155" i="25"/>
  <c r="AF156" i="25"/>
  <c r="AF151" i="25"/>
  <c r="AF153" i="25"/>
  <c r="AF157" i="25"/>
  <c r="AF158" i="25"/>
  <c r="AF159" i="25"/>
  <c r="AF160" i="25"/>
  <c r="AF161" i="25"/>
  <c r="AF162" i="25"/>
  <c r="AF163" i="25"/>
  <c r="AF164" i="25"/>
  <c r="AF165" i="25"/>
  <c r="AF166" i="25"/>
  <c r="AF167" i="25"/>
  <c r="AF168" i="25"/>
  <c r="AF169" i="25"/>
  <c r="AF170" i="25"/>
  <c r="AF171" i="25"/>
  <c r="AD143" i="25"/>
  <c r="AD144" i="25"/>
  <c r="AD145" i="25"/>
  <c r="AD146" i="25"/>
  <c r="AD147" i="25"/>
  <c r="AD148" i="25"/>
  <c r="AD150" i="25"/>
  <c r="Z150" i="25"/>
  <c r="AD152" i="25"/>
  <c r="AD154" i="25"/>
  <c r="AD149" i="25"/>
  <c r="AD155" i="25"/>
  <c r="AD156" i="25"/>
  <c r="AD151" i="25"/>
  <c r="Z151" i="25"/>
  <c r="AD153" i="25"/>
  <c r="AD157" i="25"/>
  <c r="AD158" i="25"/>
  <c r="AD159" i="25"/>
  <c r="AD160" i="25"/>
  <c r="AD161" i="25"/>
  <c r="AD162" i="25"/>
  <c r="AD163" i="25"/>
  <c r="AD164" i="25"/>
  <c r="AD165" i="25"/>
  <c r="AD166" i="25"/>
  <c r="AD167" i="25"/>
  <c r="AD168" i="25"/>
  <c r="AD169" i="25"/>
  <c r="AD170" i="25"/>
  <c r="AD171" i="25"/>
  <c r="AB143" i="25"/>
  <c r="AB144" i="25"/>
  <c r="AB145" i="25"/>
  <c r="X145" i="25"/>
  <c r="AB146" i="25"/>
  <c r="AB147" i="25"/>
  <c r="AB148" i="25"/>
  <c r="AB150" i="25"/>
  <c r="X150" i="25"/>
  <c r="AB152" i="25"/>
  <c r="AB154" i="25"/>
  <c r="AB149" i="25"/>
  <c r="AB155" i="25"/>
  <c r="AB156" i="25"/>
  <c r="AB151" i="25"/>
  <c r="AB153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Z143" i="25"/>
  <c r="Z144" i="25"/>
  <c r="Z145" i="25"/>
  <c r="Z146" i="25"/>
  <c r="Z147" i="25"/>
  <c r="Z148" i="25"/>
  <c r="Z152" i="25"/>
  <c r="Z154" i="25"/>
  <c r="Z149" i="25"/>
  <c r="Z155" i="25"/>
  <c r="Z156" i="25"/>
  <c r="Z153" i="25"/>
  <c r="Z157" i="25"/>
  <c r="Z158" i="25"/>
  <c r="Z159" i="25"/>
  <c r="Z160" i="25"/>
  <c r="Z161" i="25"/>
  <c r="Z162" i="25"/>
  <c r="Z163" i="25"/>
  <c r="Z164" i="25"/>
  <c r="Z165" i="25"/>
  <c r="Z166" i="25"/>
  <c r="Z167" i="25"/>
  <c r="Z168" i="25"/>
  <c r="Z169" i="25"/>
  <c r="Z170" i="25"/>
  <c r="Z171" i="25"/>
  <c r="X143" i="25"/>
  <c r="X144" i="25"/>
  <c r="X146" i="25"/>
  <c r="X147" i="25"/>
  <c r="X148" i="25"/>
  <c r="X152" i="25"/>
  <c r="X154" i="25"/>
  <c r="X149" i="25"/>
  <c r="X155" i="25"/>
  <c r="X156" i="25"/>
  <c r="X153" i="25"/>
  <c r="X157" i="25"/>
  <c r="X158" i="25"/>
  <c r="X159" i="25"/>
  <c r="X160" i="25"/>
  <c r="X161" i="25"/>
  <c r="X162" i="25"/>
  <c r="X163" i="25"/>
  <c r="X164" i="25"/>
  <c r="X165" i="25"/>
  <c r="X166" i="25"/>
  <c r="X167" i="25"/>
  <c r="X168" i="25"/>
  <c r="X169" i="25"/>
  <c r="X170" i="25"/>
  <c r="X171" i="25"/>
  <c r="AH142" i="25"/>
  <c r="AF142" i="25"/>
  <c r="AD142" i="25"/>
  <c r="AB142" i="25"/>
  <c r="Z142" i="25"/>
  <c r="X142" i="25"/>
  <c r="AH112" i="25"/>
  <c r="AH109" i="25"/>
  <c r="AH111" i="25"/>
  <c r="AH110" i="25"/>
  <c r="AH114" i="25"/>
  <c r="AH115" i="25"/>
  <c r="AH119" i="25"/>
  <c r="AH113" i="25"/>
  <c r="AH120" i="25"/>
  <c r="AH116" i="25"/>
  <c r="AH121" i="25"/>
  <c r="AH118" i="25"/>
  <c r="AH117" i="25"/>
  <c r="AH122" i="25"/>
  <c r="AH123" i="25"/>
  <c r="AH124" i="25"/>
  <c r="AH125" i="25"/>
  <c r="AH126" i="25"/>
  <c r="AH127" i="25"/>
  <c r="AH128" i="25"/>
  <c r="AH129" i="25"/>
  <c r="AH130" i="25"/>
  <c r="AH131" i="25"/>
  <c r="AH132" i="25"/>
  <c r="AH133" i="25"/>
  <c r="AH134" i="25"/>
  <c r="AH135" i="25"/>
  <c r="AH136" i="25"/>
  <c r="AH137" i="25"/>
  <c r="AF112" i="25"/>
  <c r="AF109" i="25"/>
  <c r="AF111" i="25"/>
  <c r="AF110" i="25"/>
  <c r="AF114" i="25"/>
  <c r="AF115" i="25"/>
  <c r="AF119" i="25"/>
  <c r="AF113" i="25"/>
  <c r="AF120" i="25"/>
  <c r="AF116" i="25"/>
  <c r="AF121" i="25"/>
  <c r="AF118" i="25"/>
  <c r="AF117" i="25"/>
  <c r="AF122" i="25"/>
  <c r="AF123" i="25"/>
  <c r="AF124" i="25"/>
  <c r="AF125" i="25"/>
  <c r="AF126" i="25"/>
  <c r="AF127" i="25"/>
  <c r="AF128" i="25"/>
  <c r="AF129" i="25"/>
  <c r="AF130" i="25"/>
  <c r="AF131" i="25"/>
  <c r="AF132" i="25"/>
  <c r="AF133" i="25"/>
  <c r="AF134" i="25"/>
  <c r="AF135" i="25"/>
  <c r="AF136" i="25"/>
  <c r="AF137" i="25"/>
  <c r="AD112" i="25"/>
  <c r="AD109" i="25"/>
  <c r="AD111" i="25"/>
  <c r="AD110" i="25"/>
  <c r="AD114" i="25"/>
  <c r="AD115" i="25"/>
  <c r="AD119" i="25"/>
  <c r="AD113" i="25"/>
  <c r="AD120" i="25"/>
  <c r="AD116" i="25"/>
  <c r="AD121" i="25"/>
  <c r="AD118" i="25"/>
  <c r="AD117" i="25"/>
  <c r="AD122" i="25"/>
  <c r="AD123" i="25"/>
  <c r="AD124" i="25"/>
  <c r="AD125" i="25"/>
  <c r="AD126" i="25"/>
  <c r="AD127" i="25"/>
  <c r="AD128" i="25"/>
  <c r="AD129" i="25"/>
  <c r="AD130" i="25"/>
  <c r="AD131" i="25"/>
  <c r="AD132" i="25"/>
  <c r="AD133" i="25"/>
  <c r="AD134" i="25"/>
  <c r="AD135" i="25"/>
  <c r="AD136" i="25"/>
  <c r="AD137" i="25"/>
  <c r="AB112" i="25"/>
  <c r="AB109" i="25"/>
  <c r="AB111" i="25"/>
  <c r="X111" i="25"/>
  <c r="AB110" i="25"/>
  <c r="AB114" i="25"/>
  <c r="AB115" i="25"/>
  <c r="AB119" i="25"/>
  <c r="AB113" i="25"/>
  <c r="AB120" i="25"/>
  <c r="AB116" i="25"/>
  <c r="AB121" i="25"/>
  <c r="AB118" i="25"/>
  <c r="AB117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Z112" i="25"/>
  <c r="Z109" i="25"/>
  <c r="Z111" i="25"/>
  <c r="Z110" i="25"/>
  <c r="Z114" i="25"/>
  <c r="Z115" i="25"/>
  <c r="Z119" i="25"/>
  <c r="Z113" i="25"/>
  <c r="Z120" i="25"/>
  <c r="Z116" i="25"/>
  <c r="Z121" i="25"/>
  <c r="Z118" i="25"/>
  <c r="Z117" i="25"/>
  <c r="Z122" i="25"/>
  <c r="Z123" i="25"/>
  <c r="Z124" i="25"/>
  <c r="Z125" i="25"/>
  <c r="Z126" i="25"/>
  <c r="Z127" i="25"/>
  <c r="Z128" i="25"/>
  <c r="Z129" i="25"/>
  <c r="Z130" i="25"/>
  <c r="Z131" i="25"/>
  <c r="Z132" i="25"/>
  <c r="Z133" i="25"/>
  <c r="Z134" i="25"/>
  <c r="Z135" i="25"/>
  <c r="Z136" i="25"/>
  <c r="Z137" i="25"/>
  <c r="X112" i="25"/>
  <c r="X109" i="25"/>
  <c r="X110" i="25"/>
  <c r="X114" i="25"/>
  <c r="X115" i="25"/>
  <c r="X119" i="25"/>
  <c r="X113" i="25"/>
  <c r="X120" i="25"/>
  <c r="X116" i="25"/>
  <c r="X121" i="25"/>
  <c r="X118" i="25"/>
  <c r="X117" i="25"/>
  <c r="X122" i="25"/>
  <c r="X123" i="25"/>
  <c r="X124" i="25"/>
  <c r="X125" i="25"/>
  <c r="X126" i="25"/>
  <c r="X127" i="25"/>
  <c r="X128" i="25"/>
  <c r="X129" i="25"/>
  <c r="X130" i="25"/>
  <c r="X131" i="25"/>
  <c r="X132" i="25"/>
  <c r="X133" i="25"/>
  <c r="X134" i="25"/>
  <c r="X135" i="25"/>
  <c r="X136" i="25"/>
  <c r="X137" i="25"/>
  <c r="AH108" i="25"/>
  <c r="AF108" i="25"/>
  <c r="AD108" i="25"/>
  <c r="AB108" i="25"/>
  <c r="Z108" i="25"/>
  <c r="X108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B41" i="25"/>
  <c r="AB42" i="25"/>
  <c r="AB43" i="25"/>
  <c r="X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X41" i="25"/>
  <c r="X42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AH40" i="25"/>
  <c r="AF40" i="25"/>
  <c r="AD40" i="25"/>
  <c r="AB40" i="25"/>
  <c r="Z40" i="25"/>
  <c r="X40" i="25"/>
  <c r="AH75" i="25"/>
  <c r="AH76" i="25"/>
  <c r="AH77" i="25"/>
  <c r="AH78" i="25"/>
  <c r="AH79" i="25"/>
  <c r="AH80" i="25"/>
  <c r="AH81" i="25"/>
  <c r="AH83" i="25"/>
  <c r="AH84" i="25"/>
  <c r="AH85" i="25"/>
  <c r="AH86" i="25"/>
  <c r="AH82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F75" i="25"/>
  <c r="AF76" i="25"/>
  <c r="AF77" i="25"/>
  <c r="AF78" i="25"/>
  <c r="AF79" i="25"/>
  <c r="AF80" i="25"/>
  <c r="AF81" i="25"/>
  <c r="AF83" i="25"/>
  <c r="AF84" i="25"/>
  <c r="AF85" i="25"/>
  <c r="AF86" i="25"/>
  <c r="AF82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D75" i="25"/>
  <c r="AD76" i="25"/>
  <c r="AD77" i="25"/>
  <c r="AD78" i="25"/>
  <c r="AD79" i="25"/>
  <c r="Z79" i="25"/>
  <c r="AD80" i="25"/>
  <c r="AD81" i="25"/>
  <c r="AD83" i="25"/>
  <c r="Z83" i="25"/>
  <c r="AD84" i="25"/>
  <c r="AD85" i="25"/>
  <c r="AD86" i="25"/>
  <c r="AD82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B75" i="25"/>
  <c r="AB76" i="25"/>
  <c r="AB77" i="25"/>
  <c r="AB78" i="25"/>
  <c r="AB79" i="25"/>
  <c r="AB80" i="25"/>
  <c r="AB81" i="25"/>
  <c r="AB83" i="25"/>
  <c r="AB84" i="25"/>
  <c r="AB85" i="25"/>
  <c r="AB86" i="25"/>
  <c r="AB82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Z75" i="25"/>
  <c r="Z76" i="25"/>
  <c r="Z77" i="25"/>
  <c r="Z78" i="25"/>
  <c r="Z80" i="25"/>
  <c r="Z81" i="25"/>
  <c r="Z84" i="25"/>
  <c r="Z85" i="25"/>
  <c r="Z86" i="25"/>
  <c r="Z82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X75" i="25"/>
  <c r="X76" i="25"/>
  <c r="X77" i="25"/>
  <c r="X78" i="25"/>
  <c r="X80" i="25"/>
  <c r="X81" i="25"/>
  <c r="X84" i="25"/>
  <c r="X85" i="25"/>
  <c r="X86" i="25"/>
  <c r="X82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AH74" i="25"/>
  <c r="AF74" i="25"/>
  <c r="AD74" i="25"/>
  <c r="AB74" i="25"/>
  <c r="Z74" i="25"/>
  <c r="X74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D7" i="25"/>
  <c r="AD8" i="25"/>
  <c r="AD9" i="25"/>
  <c r="AD10" i="25"/>
  <c r="Z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Z7" i="25"/>
  <c r="Z8" i="25"/>
  <c r="Z9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X7" i="25"/>
  <c r="X8" i="25"/>
  <c r="X9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AD6" i="25"/>
  <c r="Z6" i="25"/>
  <c r="AB6" i="25"/>
  <c r="X6" i="25"/>
  <c r="AF6" i="25"/>
  <c r="AH6" i="25"/>
  <c r="AJ211" i="25"/>
  <c r="AJ212" i="25"/>
  <c r="AJ213" i="25"/>
  <c r="AJ214" i="25"/>
  <c r="AJ215" i="25"/>
  <c r="AJ216" i="25"/>
  <c r="AJ217" i="25"/>
  <c r="AJ218" i="25"/>
  <c r="AJ219" i="25"/>
  <c r="AJ220" i="25"/>
  <c r="AJ221" i="25"/>
  <c r="AJ222" i="25"/>
  <c r="AJ223" i="25"/>
  <c r="AJ224" i="25"/>
  <c r="AJ225" i="25"/>
  <c r="AJ226" i="25"/>
  <c r="AJ227" i="25"/>
  <c r="AJ228" i="25"/>
  <c r="AJ229" i="25"/>
  <c r="AJ230" i="25"/>
  <c r="AJ231" i="25"/>
  <c r="AJ232" i="25"/>
  <c r="AJ233" i="25"/>
  <c r="AJ234" i="25"/>
  <c r="AJ235" i="25"/>
  <c r="AJ236" i="25"/>
  <c r="AJ237" i="25"/>
  <c r="AJ238" i="25"/>
  <c r="AJ239" i="25"/>
  <c r="AJ210" i="25"/>
  <c r="AJ143" i="25"/>
  <c r="AJ144" i="25"/>
  <c r="AJ145" i="25"/>
  <c r="AJ146" i="25"/>
  <c r="AJ147" i="25"/>
  <c r="AJ148" i="25"/>
  <c r="AJ150" i="25"/>
  <c r="AJ152" i="25"/>
  <c r="AJ154" i="25"/>
  <c r="AJ149" i="25"/>
  <c r="AJ155" i="25"/>
  <c r="AJ156" i="25"/>
  <c r="AJ151" i="25"/>
  <c r="AJ153" i="25"/>
  <c r="AJ157" i="25"/>
  <c r="AJ158" i="25"/>
  <c r="AJ159" i="25"/>
  <c r="AJ160" i="25"/>
  <c r="AJ161" i="25"/>
  <c r="AJ162" i="25"/>
  <c r="AJ163" i="25"/>
  <c r="AJ164" i="25"/>
  <c r="AJ165" i="25"/>
  <c r="AJ166" i="25"/>
  <c r="AJ167" i="25"/>
  <c r="AJ168" i="25"/>
  <c r="AJ169" i="25"/>
  <c r="AJ170" i="25"/>
  <c r="AJ171" i="25"/>
  <c r="AJ142" i="25"/>
  <c r="AJ112" i="25"/>
  <c r="AJ109" i="25"/>
  <c r="AJ111" i="25"/>
  <c r="AJ110" i="25"/>
  <c r="AJ114" i="25"/>
  <c r="AJ115" i="25"/>
  <c r="AJ119" i="25"/>
  <c r="AJ113" i="25"/>
  <c r="AJ120" i="25"/>
  <c r="AJ116" i="25"/>
  <c r="AJ121" i="25"/>
  <c r="AJ118" i="25"/>
  <c r="AJ117" i="25"/>
  <c r="AJ122" i="25"/>
  <c r="AJ123" i="25"/>
  <c r="AJ124" i="25"/>
  <c r="AJ125" i="25"/>
  <c r="AJ126" i="25"/>
  <c r="AJ127" i="25"/>
  <c r="AJ128" i="25"/>
  <c r="AJ129" i="25"/>
  <c r="AJ130" i="25"/>
  <c r="AJ131" i="25"/>
  <c r="AJ132" i="25"/>
  <c r="AJ133" i="25"/>
  <c r="AJ134" i="25"/>
  <c r="AJ135" i="25"/>
  <c r="AJ136" i="25"/>
  <c r="AJ137" i="25"/>
  <c r="AJ108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40" i="25"/>
  <c r="AJ75" i="25"/>
  <c r="AJ76" i="25"/>
  <c r="AJ77" i="25"/>
  <c r="AJ78" i="25"/>
  <c r="AJ79" i="25"/>
  <c r="AJ80" i="25"/>
  <c r="AJ81" i="25"/>
  <c r="AJ83" i="25"/>
  <c r="AJ84" i="25"/>
  <c r="AJ85" i="25"/>
  <c r="AJ86" i="25"/>
  <c r="AJ82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74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6" i="25"/>
  <c r="F239" i="25"/>
  <c r="A239" i="25"/>
  <c r="F238" i="25"/>
  <c r="A238" i="25"/>
  <c r="F237" i="25"/>
  <c r="A237" i="25"/>
  <c r="F236" i="25"/>
  <c r="A236" i="25"/>
  <c r="F235" i="25"/>
  <c r="A235" i="25"/>
  <c r="F234" i="25"/>
  <c r="A234" i="25"/>
  <c r="F233" i="25"/>
  <c r="A233" i="25"/>
  <c r="F232" i="25"/>
  <c r="A232" i="25"/>
  <c r="F231" i="25"/>
  <c r="A231" i="25"/>
  <c r="F230" i="25"/>
  <c r="A230" i="25"/>
  <c r="F229" i="25"/>
  <c r="A229" i="25"/>
  <c r="F228" i="25"/>
  <c r="A228" i="25"/>
  <c r="F227" i="25"/>
  <c r="A227" i="25"/>
  <c r="F226" i="25"/>
  <c r="A226" i="25"/>
  <c r="F225" i="25"/>
  <c r="A225" i="25"/>
  <c r="F224" i="25"/>
  <c r="A224" i="25"/>
  <c r="F223" i="25"/>
  <c r="A223" i="25"/>
  <c r="F222" i="25"/>
  <c r="A222" i="25"/>
  <c r="F221" i="25"/>
  <c r="A221" i="25"/>
  <c r="F220" i="25"/>
  <c r="A220" i="25"/>
  <c r="F219" i="25"/>
  <c r="A219" i="25"/>
  <c r="F218" i="25"/>
  <c r="A218" i="25"/>
  <c r="F217" i="25"/>
  <c r="A217" i="25"/>
  <c r="F216" i="25"/>
  <c r="A216" i="25"/>
  <c r="F215" i="25"/>
  <c r="A215" i="25"/>
  <c r="F214" i="25"/>
  <c r="A214" i="25"/>
  <c r="F213" i="25"/>
  <c r="A213" i="25"/>
  <c r="F212" i="25"/>
  <c r="A212" i="25"/>
  <c r="F211" i="25"/>
  <c r="A211" i="25"/>
  <c r="F210" i="25"/>
  <c r="A210" i="25"/>
  <c r="F146" i="25"/>
  <c r="A146" i="25"/>
  <c r="F145" i="25"/>
  <c r="A145" i="25"/>
  <c r="F144" i="25"/>
  <c r="A144" i="25"/>
  <c r="F143" i="25"/>
  <c r="A143" i="25"/>
  <c r="F142" i="25"/>
  <c r="A142" i="25"/>
  <c r="A135" i="25"/>
  <c r="A123" i="25"/>
  <c r="F109" i="25"/>
  <c r="A109" i="25"/>
  <c r="F108" i="25"/>
  <c r="A108" i="25"/>
  <c r="F69" i="25"/>
  <c r="A69" i="25"/>
  <c r="F68" i="25"/>
  <c r="A68" i="25"/>
  <c r="F67" i="25"/>
  <c r="A67" i="25"/>
  <c r="F66" i="25"/>
  <c r="A66" i="25"/>
  <c r="F65" i="25"/>
  <c r="A65" i="25"/>
  <c r="F64" i="25"/>
  <c r="A64" i="25"/>
  <c r="F63" i="25"/>
  <c r="A63" i="25"/>
  <c r="F62" i="25"/>
  <c r="A62" i="25"/>
  <c r="F61" i="25"/>
  <c r="A61" i="25"/>
  <c r="F60" i="25"/>
  <c r="A60" i="25"/>
  <c r="F59" i="25"/>
  <c r="A59" i="25"/>
  <c r="F58" i="25"/>
  <c r="A58" i="25"/>
  <c r="F57" i="25"/>
  <c r="A57" i="25"/>
  <c r="F56" i="25"/>
  <c r="A56" i="25"/>
  <c r="F55" i="25"/>
  <c r="A55" i="25"/>
  <c r="F54" i="25"/>
  <c r="A54" i="25"/>
  <c r="F53" i="25"/>
  <c r="A53" i="25"/>
  <c r="F52" i="25"/>
  <c r="A52" i="25"/>
  <c r="F51" i="25"/>
  <c r="A51" i="25"/>
  <c r="F50" i="25"/>
  <c r="A50" i="25"/>
  <c r="F49" i="25"/>
  <c r="A49" i="25"/>
  <c r="F48" i="25"/>
  <c r="A48" i="25"/>
  <c r="F47" i="25"/>
  <c r="A47" i="25"/>
  <c r="F46" i="25"/>
  <c r="A46" i="25"/>
  <c r="F45" i="25"/>
  <c r="A45" i="25"/>
  <c r="F44" i="25"/>
  <c r="A44" i="25"/>
  <c r="F43" i="25"/>
  <c r="A43" i="25"/>
  <c r="F42" i="25"/>
  <c r="A42" i="25"/>
  <c r="F41" i="25"/>
  <c r="A41" i="25"/>
  <c r="F40" i="25"/>
  <c r="A40" i="25"/>
  <c r="A96" i="25"/>
  <c r="F81" i="25"/>
  <c r="A81" i="25"/>
  <c r="F80" i="25"/>
  <c r="A80" i="25"/>
  <c r="F79" i="25"/>
  <c r="A79" i="25"/>
  <c r="F78" i="25"/>
  <c r="A78" i="25"/>
  <c r="F77" i="25"/>
  <c r="A77" i="25"/>
  <c r="F76" i="25"/>
  <c r="A76" i="25"/>
  <c r="F75" i="25"/>
  <c r="A75" i="25"/>
  <c r="F74" i="25"/>
  <c r="A74" i="25"/>
  <c r="F35" i="25"/>
  <c r="A35" i="25"/>
  <c r="B35" i="25"/>
  <c r="F34" i="25"/>
  <c r="A34" i="25"/>
  <c r="B34" i="25"/>
  <c r="F33" i="25"/>
  <c r="A33" i="25"/>
  <c r="B33" i="25"/>
  <c r="F32" i="25"/>
  <c r="A32" i="25"/>
  <c r="B32" i="25"/>
  <c r="F31" i="25"/>
  <c r="A31" i="25"/>
  <c r="B31" i="25"/>
  <c r="F30" i="25"/>
  <c r="A30" i="25"/>
  <c r="B30" i="25"/>
  <c r="F7" i="25"/>
  <c r="A7" i="25"/>
  <c r="F8" i="25"/>
  <c r="A8" i="25"/>
  <c r="F9" i="25"/>
  <c r="A9" i="25"/>
  <c r="F10" i="25"/>
  <c r="A10" i="25"/>
  <c r="F11" i="25"/>
  <c r="A11" i="25"/>
  <c r="F12" i="25"/>
  <c r="A12" i="25"/>
  <c r="F13" i="25"/>
  <c r="A13" i="25"/>
  <c r="F14" i="25"/>
  <c r="A14" i="25"/>
  <c r="F15" i="25"/>
  <c r="A15" i="25"/>
  <c r="F16" i="25"/>
  <c r="A16" i="25"/>
  <c r="F17" i="25"/>
  <c r="A17" i="25"/>
  <c r="F18" i="25"/>
  <c r="A18" i="25"/>
  <c r="F19" i="25"/>
  <c r="A19" i="25"/>
  <c r="F20" i="25"/>
  <c r="A20" i="25"/>
  <c r="F21" i="25"/>
  <c r="A21" i="25"/>
  <c r="F22" i="25"/>
  <c r="A22" i="25"/>
  <c r="F23" i="25"/>
  <c r="A23" i="25"/>
  <c r="F24" i="25"/>
  <c r="A24" i="25"/>
  <c r="F25" i="25"/>
  <c r="A25" i="25"/>
  <c r="F26" i="25"/>
  <c r="A26" i="25"/>
  <c r="F27" i="25"/>
  <c r="A27" i="25"/>
  <c r="F28" i="25"/>
  <c r="A28" i="25"/>
  <c r="F29" i="25"/>
  <c r="A29" i="25"/>
  <c r="F6" i="25"/>
  <c r="A6" i="25"/>
  <c r="AN8" i="25"/>
  <c r="K189" i="25"/>
  <c r="AN9" i="25"/>
  <c r="G189" i="25"/>
  <c r="AN10" i="25"/>
  <c r="K177" i="25"/>
  <c r="AN11" i="25"/>
  <c r="G182" i="25"/>
  <c r="AN12" i="25"/>
  <c r="G184" i="25"/>
  <c r="K147" i="25"/>
  <c r="AN13" i="25"/>
  <c r="G190" i="25"/>
  <c r="AN14" i="25"/>
  <c r="G185" i="25"/>
  <c r="AN15" i="25"/>
  <c r="M118" i="25"/>
  <c r="G239" i="25"/>
  <c r="G3" i="47"/>
  <c r="G4" i="47"/>
  <c r="U24" i="47"/>
  <c r="U25" i="47"/>
  <c r="D24" i="47"/>
  <c r="D25" i="47"/>
  <c r="AL6" i="47"/>
  <c r="AV29" i="27"/>
  <c r="AV28" i="27"/>
  <c r="AV27" i="27"/>
  <c r="AV26" i="27"/>
  <c r="AV25" i="27"/>
  <c r="AV24" i="27"/>
  <c r="AV23" i="27"/>
  <c r="AV22" i="27"/>
  <c r="AV21" i="27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6" i="25"/>
  <c r="I9" i="46"/>
  <c r="D2" i="46"/>
  <c r="A15" i="46"/>
  <c r="A16" i="46"/>
  <c r="A14" i="46"/>
  <c r="A13" i="46"/>
  <c r="U11" i="27"/>
  <c r="A4" i="27"/>
  <c r="A2" i="27"/>
  <c r="K6" i="27"/>
  <c r="F2" i="25"/>
  <c r="F1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137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35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21" i="25"/>
  <c r="G29" i="25"/>
  <c r="G22" i="25"/>
  <c r="G25" i="25"/>
  <c r="G26" i="25"/>
  <c r="G28" i="25"/>
  <c r="G24" i="25"/>
  <c r="G20" i="25"/>
  <c r="G27" i="25"/>
  <c r="G23" i="25"/>
  <c r="G30" i="25"/>
  <c r="G31" i="25"/>
  <c r="G32" i="25"/>
  <c r="G33" i="25"/>
  <c r="G34" i="25"/>
  <c r="AL7" i="47"/>
  <c r="AL8" i="47"/>
  <c r="G14" i="25"/>
  <c r="K10" i="25"/>
  <c r="K121" i="25"/>
  <c r="K46" i="25"/>
  <c r="M9" i="25"/>
  <c r="M117" i="25"/>
  <c r="K77" i="25"/>
  <c r="G6" i="25"/>
  <c r="G15" i="25"/>
  <c r="M142" i="25"/>
  <c r="G83" i="25"/>
  <c r="M153" i="25"/>
  <c r="M156" i="25"/>
  <c r="G17" i="25"/>
  <c r="G119" i="25"/>
  <c r="K112" i="25"/>
  <c r="K81" i="25"/>
  <c r="K157" i="25"/>
  <c r="G155" i="25"/>
  <c r="G156" i="25"/>
  <c r="G154" i="25"/>
  <c r="G12" i="25"/>
  <c r="M13" i="25"/>
  <c r="M151" i="25"/>
  <c r="K118" i="25"/>
  <c r="G8" i="25"/>
  <c r="M76" i="25"/>
  <c r="K75" i="25"/>
  <c r="M7" i="25"/>
  <c r="G80" i="25"/>
  <c r="M81" i="25"/>
  <c r="M146" i="25"/>
  <c r="M18" i="25"/>
  <c r="G7" i="25"/>
  <c r="G78" i="25"/>
  <c r="M80" i="25"/>
  <c r="K115" i="25"/>
  <c r="M111" i="25"/>
  <c r="M149" i="25"/>
  <c r="G113" i="25"/>
  <c r="G41" i="25"/>
  <c r="M44" i="25"/>
  <c r="K17" i="25"/>
  <c r="M47" i="25"/>
  <c r="M82" i="25"/>
  <c r="K8" i="25"/>
  <c r="K9" i="25"/>
  <c r="G118" i="25"/>
  <c r="G146" i="25"/>
  <c r="M14" i="25"/>
  <c r="K76" i="25"/>
  <c r="M15" i="25"/>
  <c r="G145" i="25"/>
  <c r="G150" i="25"/>
  <c r="K6" i="25"/>
  <c r="K120" i="25"/>
  <c r="M116" i="25"/>
  <c r="M8" i="25"/>
  <c r="K143" i="25"/>
  <c r="K144" i="25"/>
  <c r="M11" i="25"/>
  <c r="G143" i="25"/>
  <c r="K49" i="25"/>
  <c r="M75" i="25"/>
  <c r="M52" i="25"/>
  <c r="M120" i="25"/>
  <c r="M147" i="25"/>
  <c r="M110" i="25"/>
  <c r="G10" i="25"/>
  <c r="K119" i="25"/>
  <c r="G82" i="25"/>
  <c r="G111" i="25"/>
  <c r="K116" i="25"/>
  <c r="K74" i="25"/>
  <c r="M119" i="25"/>
  <c r="G53" i="25"/>
  <c r="K51" i="25"/>
  <c r="G117" i="25"/>
  <c r="M16" i="25"/>
  <c r="G144" i="25"/>
  <c r="M79" i="25"/>
  <c r="G18" i="25"/>
  <c r="M148" i="25"/>
  <c r="G151" i="25"/>
  <c r="M121" i="25"/>
  <c r="G52" i="25"/>
  <c r="M155" i="25"/>
  <c r="M77" i="25"/>
  <c r="G108" i="25"/>
  <c r="K154" i="25"/>
  <c r="G42" i="25"/>
  <c r="G76" i="25"/>
  <c r="M43" i="25"/>
  <c r="G79" i="25"/>
  <c r="G84" i="25"/>
  <c r="AL9" i="47"/>
  <c r="AL10" i="47"/>
  <c r="AL11" i="47"/>
  <c r="X151" i="25"/>
  <c r="X184" i="25"/>
  <c r="X211" i="25"/>
  <c r="X181" i="25"/>
  <c r="X177" i="25"/>
  <c r="X83" i="25"/>
  <c r="X79" i="25"/>
  <c r="X10" i="25"/>
  <c r="W7" i="47"/>
  <c r="F5" i="47"/>
  <c r="W5" i="47"/>
  <c r="AD8" i="47"/>
  <c r="A11" i="47"/>
  <c r="E13" i="47"/>
  <c r="W6" i="47"/>
  <c r="W8" i="47"/>
  <c r="W9" i="47"/>
  <c r="R11" i="47"/>
  <c r="V13" i="47"/>
  <c r="G46" i="25"/>
  <c r="M154" i="25"/>
  <c r="G142" i="25"/>
  <c r="M12" i="25"/>
  <c r="M48" i="25"/>
  <c r="M45" i="25"/>
  <c r="K15" i="25"/>
  <c r="K85" i="25"/>
  <c r="K45" i="25"/>
  <c r="M150" i="25"/>
  <c r="G13" i="25"/>
  <c r="G179" i="25"/>
  <c r="M181" i="25"/>
  <c r="K184" i="25"/>
  <c r="G188" i="25"/>
  <c r="G176" i="25"/>
  <c r="M182" i="25"/>
  <c r="M86" i="25"/>
  <c r="G77" i="25"/>
  <c r="M157" i="25"/>
  <c r="K78" i="25"/>
  <c r="G87" i="25"/>
  <c r="K80" i="25"/>
  <c r="G40" i="25"/>
  <c r="K44" i="25"/>
  <c r="M42" i="25"/>
  <c r="G9" i="25"/>
  <c r="K178" i="25"/>
  <c r="K183" i="25"/>
  <c r="K190" i="25"/>
  <c r="K191" i="25"/>
  <c r="G110" i="25"/>
  <c r="K42" i="25"/>
  <c r="G47" i="25"/>
  <c r="G147" i="25"/>
  <c r="K14" i="25"/>
  <c r="M84" i="25"/>
  <c r="M143" i="25"/>
  <c r="G85" i="25"/>
  <c r="M46" i="25"/>
  <c r="K19" i="25"/>
  <c r="M177" i="25"/>
  <c r="G180" i="25"/>
  <c r="M183" i="25"/>
  <c r="K185" i="25"/>
  <c r="M189" i="25"/>
  <c r="M190" i="25"/>
  <c r="G186" i="25"/>
  <c r="G187" i="25"/>
  <c r="K114" i="25"/>
  <c r="K40" i="25"/>
  <c r="G81" i="25"/>
  <c r="K155" i="25"/>
  <c r="K48" i="25"/>
  <c r="K13" i="25"/>
  <c r="M10" i="25"/>
  <c r="K12" i="25"/>
  <c r="M40" i="25"/>
  <c r="K52" i="25"/>
  <c r="K142" i="25"/>
  <c r="K176" i="25"/>
  <c r="M184" i="25"/>
  <c r="K186" i="25"/>
  <c r="K187" i="25"/>
  <c r="K47" i="25"/>
  <c r="K156" i="25"/>
  <c r="M152" i="25"/>
  <c r="M50" i="25"/>
  <c r="M85" i="25"/>
  <c r="K109" i="25"/>
  <c r="G45" i="25"/>
  <c r="M49" i="25"/>
  <c r="K146" i="25"/>
  <c r="M145" i="25"/>
  <c r="G153" i="25"/>
  <c r="K117" i="25"/>
  <c r="M78" i="25"/>
  <c r="K16" i="25"/>
  <c r="K86" i="25"/>
  <c r="K84" i="25"/>
  <c r="M87" i="25"/>
  <c r="G51" i="25"/>
  <c r="M19" i="25"/>
  <c r="K145" i="25"/>
  <c r="K152" i="25"/>
  <c r="G44" i="25"/>
  <c r="G152" i="25"/>
  <c r="K82" i="25"/>
  <c r="M74" i="25"/>
  <c r="K43" i="25"/>
  <c r="M144" i="25"/>
  <c r="K11" i="25"/>
  <c r="K83" i="25"/>
  <c r="M176" i="25"/>
  <c r="G177" i="25"/>
  <c r="M179" i="25"/>
  <c r="K180" i="25"/>
  <c r="G181" i="25"/>
  <c r="M186" i="25"/>
  <c r="M187" i="25"/>
  <c r="K188" i="25"/>
  <c r="M191" i="25"/>
  <c r="K182" i="25"/>
  <c r="G191" i="25"/>
  <c r="M109" i="25"/>
  <c r="G50" i="25"/>
  <c r="K53" i="25"/>
  <c r="G11" i="25"/>
  <c r="G86" i="25"/>
  <c r="G116" i="25"/>
  <c r="G148" i="25"/>
  <c r="G149" i="25"/>
  <c r="M115" i="25"/>
  <c r="G16" i="25"/>
  <c r="K50" i="25"/>
  <c r="K18" i="25"/>
  <c r="M178" i="25"/>
  <c r="K179" i="25"/>
  <c r="G75" i="25"/>
  <c r="K153" i="25"/>
  <c r="M112" i="25"/>
  <c r="M53" i="25"/>
  <c r="G49" i="25"/>
  <c r="G43" i="25"/>
  <c r="K108" i="25"/>
  <c r="G74" i="25"/>
  <c r="M41" i="25"/>
  <c r="M113" i="25"/>
  <c r="M17" i="25"/>
  <c r="K87" i="25"/>
  <c r="G120" i="25"/>
  <c r="K79" i="25"/>
  <c r="K110" i="25"/>
  <c r="K7" i="25"/>
  <c r="M6" i="25"/>
  <c r="F7" i="47"/>
  <c r="G109" i="25"/>
  <c r="M114" i="25"/>
  <c r="G157" i="25"/>
  <c r="M83" i="25"/>
  <c r="G112" i="25"/>
  <c r="M108" i="25"/>
  <c r="G115" i="25"/>
  <c r="K41" i="25"/>
  <c r="G121" i="25"/>
  <c r="M51" i="25"/>
  <c r="G114" i="25"/>
  <c r="G19" i="25"/>
  <c r="G48" i="25"/>
  <c r="G178" i="25"/>
  <c r="M180" i="25"/>
  <c r="K181" i="25"/>
  <c r="G183" i="25"/>
  <c r="M188" i="25"/>
  <c r="AB28" i="27"/>
  <c r="V27" i="27"/>
  <c r="AG25" i="27"/>
  <c r="V29" i="27"/>
  <c r="AE28" i="27"/>
  <c r="AG22" i="27"/>
  <c r="AE21" i="27"/>
  <c r="AB27" i="27"/>
  <c r="X22" i="27"/>
  <c r="AG27" i="27"/>
  <c r="X28" i="27"/>
  <c r="X24" i="27"/>
  <c r="V23" i="27"/>
  <c r="AG29" i="27"/>
  <c r="AE25" i="27"/>
  <c r="AH25" i="27"/>
  <c r="AG24" i="27"/>
  <c r="AB26" i="27"/>
  <c r="AB24" i="27"/>
  <c r="AB25" i="27"/>
  <c r="AE29" i="27"/>
  <c r="AE27" i="27"/>
  <c r="AB21" i="27"/>
  <c r="AG23" i="27"/>
  <c r="V26" i="27"/>
  <c r="V25" i="27"/>
  <c r="AE23" i="27"/>
  <c r="V21" i="27"/>
  <c r="V28" i="27"/>
  <c r="X21" i="27"/>
  <c r="V22" i="27"/>
  <c r="Z21" i="27"/>
  <c r="Z28" i="27"/>
  <c r="X29" i="27"/>
  <c r="AE22" i="27"/>
  <c r="Z27" i="27"/>
  <c r="AE26" i="27"/>
  <c r="AB23" i="27"/>
  <c r="AB22" i="27"/>
  <c r="X26" i="27"/>
  <c r="Z24" i="27"/>
  <c r="X23" i="27"/>
  <c r="X27" i="27"/>
  <c r="Z26" i="27"/>
  <c r="AG28" i="27"/>
  <c r="V24" i="27"/>
  <c r="Z23" i="27"/>
  <c r="X25" i="27"/>
  <c r="AE24" i="27"/>
  <c r="Z25" i="27"/>
  <c r="Z22" i="27"/>
  <c r="AC22" i="27"/>
  <c r="Z29" i="27"/>
  <c r="AG21" i="27"/>
  <c r="AG26" i="27"/>
  <c r="AB29" i="27"/>
  <c r="Y27" i="27"/>
  <c r="AC28" i="27"/>
  <c r="AH22" i="27"/>
  <c r="AD27" i="27"/>
  <c r="AD21" i="27"/>
  <c r="AD29" i="27"/>
  <c r="AH21" i="27"/>
  <c r="Y28" i="27"/>
  <c r="AD28" i="27"/>
  <c r="AD26" i="27"/>
  <c r="AD24" i="27"/>
  <c r="AD25" i="27"/>
  <c r="AD23" i="27"/>
  <c r="AD22" i="27"/>
  <c r="AH24" i="27"/>
  <c r="U23" i="27"/>
  <c r="AC25" i="27"/>
  <c r="Y24" i="27"/>
  <c r="U29" i="27"/>
  <c r="U21" i="27"/>
  <c r="AH28" i="27"/>
  <c r="AC24" i="27"/>
  <c r="AH29" i="27"/>
  <c r="AH27" i="27"/>
  <c r="AC21" i="27"/>
  <c r="U24" i="27"/>
  <c r="AC26" i="27"/>
  <c r="Y21" i="27"/>
  <c r="Y25" i="27"/>
  <c r="Y23" i="27"/>
  <c r="Y22" i="27"/>
  <c r="Y26" i="27"/>
  <c r="U25" i="27"/>
  <c r="Y29" i="27"/>
  <c r="U22" i="27"/>
  <c r="AH26" i="27"/>
  <c r="AC27" i="27"/>
  <c r="AC29" i="27"/>
  <c r="U28" i="27"/>
  <c r="AC23" i="27"/>
  <c r="U26" i="27"/>
  <c r="U27" i="27"/>
  <c r="AH23" i="27"/>
  <c r="AQ28" i="27"/>
  <c r="AP22" i="27"/>
  <c r="AP21" i="27"/>
  <c r="AT26" i="27"/>
  <c r="AT25" i="27"/>
  <c r="AM29" i="27"/>
  <c r="AT24" i="27"/>
  <c r="AP28" i="27"/>
  <c r="AM25" i="27"/>
  <c r="AU28" i="27"/>
  <c r="AT29" i="27"/>
  <c r="AN25" i="27"/>
  <c r="AU23" i="27"/>
  <c r="AR24" i="27"/>
  <c r="AN28" i="27"/>
  <c r="AO28" i="27"/>
  <c r="AM26" i="27"/>
  <c r="AQ21" i="27"/>
  <c r="AS24" i="27"/>
  <c r="AM27" i="27"/>
  <c r="AR21" i="27"/>
  <c r="AM28" i="27"/>
  <c r="AR28" i="27"/>
  <c r="AR22" i="27"/>
  <c r="AT23" i="27"/>
  <c r="AP23" i="27"/>
  <c r="AM22" i="27"/>
  <c r="AM24" i="27"/>
  <c r="AT22" i="27"/>
  <c r="AS26" i="27"/>
  <c r="AT21" i="27"/>
  <c r="AN24" i="27"/>
  <c r="AS21" i="27"/>
  <c r="AT27" i="27"/>
  <c r="AU25" i="27"/>
  <c r="AQ22" i="27"/>
  <c r="AR25" i="27"/>
  <c r="AP25" i="27"/>
  <c r="AN27" i="27"/>
  <c r="AP27" i="27"/>
  <c r="AO25" i="27"/>
  <c r="AS22" i="27"/>
  <c r="AQ24" i="27"/>
  <c r="AQ26" i="27"/>
  <c r="AP26" i="27"/>
  <c r="AN26" i="27"/>
  <c r="AU24" i="27"/>
  <c r="AU22" i="27"/>
  <c r="AN21" i="27"/>
  <c r="AS23" i="27"/>
  <c r="AO29" i="27"/>
  <c r="AO21" i="27"/>
  <c r="AU27" i="27"/>
  <c r="AN29" i="27"/>
  <c r="AQ23" i="27"/>
  <c r="AR23" i="27"/>
  <c r="AR29" i="27"/>
  <c r="AQ29" i="27"/>
  <c r="AR27" i="27"/>
  <c r="AQ27" i="27"/>
  <c r="AM23" i="27"/>
  <c r="AO27" i="27"/>
  <c r="AS29" i="27"/>
  <c r="AS25" i="27"/>
  <c r="AS28" i="27"/>
  <c r="AU26" i="27"/>
  <c r="AU21" i="27"/>
  <c r="AP29" i="27"/>
  <c r="AO24" i="27"/>
  <c r="AN23" i="27"/>
  <c r="AO22" i="27"/>
  <c r="AO26" i="27"/>
  <c r="AL22" i="27"/>
  <c r="AL28" i="27"/>
  <c r="AL21" i="27"/>
  <c r="AL25" i="27"/>
  <c r="AL24" i="27"/>
  <c r="AL27" i="27"/>
  <c r="AL23" i="27"/>
  <c r="AL29" i="27"/>
  <c r="AL26" i="27"/>
  <c r="AK25" i="27"/>
  <c r="S25" i="27"/>
  <c r="AK28" i="27"/>
  <c r="S28" i="27"/>
  <c r="AK24" i="27"/>
  <c r="S24" i="27"/>
  <c r="AK27" i="27"/>
  <c r="AI27" i="27"/>
  <c r="AK23" i="27"/>
  <c r="S23" i="27"/>
  <c r="AK26" i="27"/>
  <c r="S26" i="27"/>
  <c r="AK22" i="27"/>
  <c r="S22" i="27"/>
  <c r="AK21" i="27"/>
  <c r="AI21" i="27"/>
  <c r="AK29" i="27"/>
  <c r="AI29" i="27"/>
  <c r="AI28" i="27"/>
  <c r="AI25" i="27"/>
  <c r="AI24" i="27"/>
  <c r="S27" i="27"/>
  <c r="O28" i="27"/>
  <c r="AI23" i="27"/>
  <c r="S29" i="27"/>
  <c r="AI26" i="27"/>
  <c r="S21" i="27"/>
  <c r="O21" i="27"/>
  <c r="O26" i="27"/>
  <c r="AI22" i="27"/>
  <c r="O25" i="27"/>
  <c r="F22" i="27"/>
  <c r="O27" i="27"/>
  <c r="O29" i="27"/>
  <c r="O22" i="27"/>
  <c r="B28" i="27"/>
  <c r="N28" i="27"/>
  <c r="F24" i="27"/>
  <c r="F29" i="27"/>
  <c r="D21" i="27"/>
  <c r="D23" i="27"/>
  <c r="H26" i="27"/>
  <c r="K24" i="27"/>
  <c r="D22" i="27"/>
  <c r="H24" i="27"/>
  <c r="H27" i="27"/>
  <c r="A27" i="27"/>
  <c r="L22" i="27"/>
  <c r="C26" i="27"/>
  <c r="A29" i="27"/>
  <c r="H25" i="27"/>
  <c r="L28" i="27"/>
  <c r="F25" i="27"/>
  <c r="B25" i="27"/>
  <c r="K22" i="27"/>
  <c r="A21" i="27"/>
  <c r="K28" i="27"/>
  <c r="C29" i="27"/>
  <c r="J29" i="27"/>
  <c r="N27" i="27"/>
  <c r="N24" i="27"/>
  <c r="C25" i="27"/>
  <c r="J24" i="27"/>
  <c r="J23" i="27"/>
  <c r="B24" i="27"/>
  <c r="J22" i="27"/>
  <c r="L24" i="27"/>
  <c r="O24" i="27"/>
  <c r="C27" i="27"/>
  <c r="A26" i="27"/>
  <c r="F26" i="27"/>
  <c r="F28" i="27"/>
  <c r="C23" i="27"/>
  <c r="B21" i="27"/>
  <c r="C24" i="27"/>
  <c r="H23" i="27"/>
  <c r="C22" i="27"/>
  <c r="B27" i="27"/>
  <c r="O23" i="27"/>
  <c r="A24" i="27"/>
  <c r="N26" i="27"/>
  <c r="N22" i="27"/>
  <c r="B22" i="27"/>
  <c r="J27" i="27"/>
  <c r="L23" i="27"/>
  <c r="B26" i="27"/>
  <c r="K25" i="27"/>
  <c r="B23" i="27"/>
  <c r="L21" i="27"/>
  <c r="J25" i="27"/>
  <c r="H22" i="27"/>
  <c r="K21" i="27"/>
  <c r="H29" i="27"/>
  <c r="A28" i="27"/>
  <c r="A25" i="27"/>
  <c r="D27" i="27"/>
  <c r="L27" i="27"/>
  <c r="N29" i="27"/>
  <c r="H21" i="27"/>
  <c r="B29" i="27"/>
  <c r="C21" i="27"/>
  <c r="F23" i="27"/>
  <c r="K26" i="27"/>
  <c r="L25" i="27"/>
  <c r="J26" i="27"/>
  <c r="D29" i="27"/>
  <c r="N23" i="27"/>
  <c r="D26" i="27"/>
  <c r="H28" i="27"/>
  <c r="A22" i="27"/>
  <c r="K23" i="27"/>
  <c r="L29" i="27"/>
  <c r="F21" i="27"/>
  <c r="N21" i="27"/>
  <c r="J28" i="27"/>
  <c r="K29" i="27"/>
  <c r="F27" i="27"/>
  <c r="N25" i="27"/>
  <c r="L26" i="27"/>
  <c r="C28" i="27"/>
  <c r="D24" i="27"/>
  <c r="D25" i="27"/>
  <c r="K27" i="27"/>
  <c r="J21" i="27"/>
  <c r="A23" i="27"/>
  <c r="D28" i="27"/>
</calcChain>
</file>

<file path=xl/comments1.xml><?xml version="1.0" encoding="utf-8"?>
<comments xmlns="http://schemas.openxmlformats.org/spreadsheetml/2006/main">
  <authors>
    <author>Burkhard</author>
  </authors>
  <commentLis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Bezirksoberliga Süd Damen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<sst xmlns="http://schemas.openxmlformats.org/spreadsheetml/2006/main" count="2090" uniqueCount="155">
  <si>
    <t xml:space="preserve"> : </t>
  </si>
  <si>
    <t>Bälle</t>
  </si>
  <si>
    <t>Punkte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</si>
  <si>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</si>
  <si>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</si>
  <si>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</si>
  <si>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</si>
  <si>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</si>
  <si>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</si>
  <si>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</si>
  <si>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</si>
  <si>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</si>
  <si>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</si>
  <si>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</si>
  <si>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</si>
  <si>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</si>
  <si>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</si>
  <si>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</si>
  <si>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</si>
  <si>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</si>
  <si>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</si>
  <si>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</si>
  <si>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</si>
  <si>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</si>
  <si>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A</t>
  </si>
  <si>
    <t>B</t>
  </si>
  <si>
    <t>:</t>
  </si>
  <si>
    <t>Für die Richtigkeit der Eintragungen</t>
  </si>
  <si>
    <t>Bälle 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</si>
  <si>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</si>
  <si>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</si>
  <si>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</si>
  <si>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</si>
  <si>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</si>
  <si>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</si>
  <si>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</si>
  <si>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</si>
  <si>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4. Spieltag</t>
  </si>
  <si>
    <t>Satzverh</t>
  </si>
  <si>
    <t>Summe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</si>
  <si>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</si>
  <si>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</si>
  <si>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</si>
  <si>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</si>
  <si>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</si>
  <si>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</si>
  <si>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</si>
  <si>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</si>
  <si>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</si>
  <si>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</si>
  <si>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</si>
  <si>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</si>
  <si>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</si>
  <si>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</si>
  <si>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</si>
  <si>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</si>
  <si>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</si>
  <si>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</si>
  <si>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</si>
  <si>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</si>
  <si>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</si>
  <si>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</si>
  <si>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</si>
  <si>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</si>
  <si>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</si>
  <si>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</si>
  <si>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</si>
  <si>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</si>
  <si>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</si>
  <si>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</si>
  <si>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</si>
  <si>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</si>
  <si>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</si>
  <si>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</si>
  <si>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Platzierung</t>
  </si>
  <si>
    <t>anschl.</t>
  </si>
  <si>
    <t>C</t>
  </si>
  <si>
    <t>Vorrunde Gruppe A</t>
  </si>
  <si>
    <t>Vorrunde</t>
  </si>
  <si>
    <t>1. Spieltag</t>
  </si>
  <si>
    <t>3. Spieltag</t>
  </si>
  <si>
    <t>5. Spieltag</t>
  </si>
  <si>
    <t>Teams</t>
  </si>
  <si>
    <t>Datum</t>
  </si>
  <si>
    <t>Faustball - Spielbericht</t>
  </si>
  <si>
    <t>Veranstalter: Deutsche Faustball-Liga</t>
  </si>
  <si>
    <t>Veranstaltung:</t>
  </si>
  <si>
    <t>Spalte</t>
  </si>
  <si>
    <t>Altersklasse:</t>
  </si>
  <si>
    <t>Spielrunde:</t>
  </si>
  <si>
    <t>Spielort:</t>
  </si>
  <si>
    <t>Hier die Spielnummer eintragen, die gedruckt werden soll</t>
  </si>
  <si>
    <t>Datum:</t>
  </si>
  <si>
    <t>Verein:</t>
  </si>
  <si>
    <t>Spielbeginn:</t>
  </si>
  <si>
    <t>Uhr</t>
  </si>
  <si>
    <t>Anschreiber:</t>
  </si>
  <si>
    <t>Durchgang:</t>
  </si>
  <si>
    <t>Feld:</t>
  </si>
  <si>
    <t>Linienrichter:</t>
  </si>
  <si>
    <t>Spielnummer:</t>
  </si>
  <si>
    <t>Mannschaft A:</t>
  </si>
  <si>
    <t>V</t>
  </si>
  <si>
    <t>Z</t>
  </si>
  <si>
    <t>D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</si>
  <si>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</si>
  <si>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</si>
  <si>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</si>
  <si>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</si>
  <si>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</si>
  <si>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</si>
  <si>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</si>
  <si>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</si>
  <si>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</si>
  <si>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</si>
  <si>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Vor Beginn des Spiels und ggf. vor dem 3. Satz Auslosung vornehmen!</t>
  </si>
  <si>
    <t>1. Satz</t>
  </si>
  <si>
    <t>2. Satz</t>
  </si>
  <si>
    <t>3. Satz</t>
  </si>
  <si>
    <t xml:space="preserve">Ergebnis   (A:B) </t>
  </si>
  <si>
    <t>Sieger</t>
  </si>
  <si>
    <t>Spielende</t>
  </si>
  <si>
    <t>Mannschaftsführer A:</t>
  </si>
  <si>
    <t>Mannschaftsführer B:</t>
  </si>
  <si>
    <t>Schiedsrichter:</t>
  </si>
  <si>
    <t>Bericht auf der Rückseite abgeben</t>
  </si>
  <si>
    <t>Einspruch:</t>
  </si>
  <si>
    <t>Feldverweis:</t>
  </si>
  <si>
    <t>Verletzung:</t>
  </si>
  <si>
    <t>Sonstiges:</t>
  </si>
  <si>
    <t>Bemerkungen:</t>
  </si>
  <si>
    <t>hhh</t>
  </si>
  <si>
    <t>2. Spieltag</t>
  </si>
  <si>
    <t>6. Spieltag</t>
  </si>
  <si>
    <t>ohne</t>
  </si>
  <si>
    <t>Spielfrei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</si>
  <si>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</si>
  <si>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</si>
  <si>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</si>
  <si>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</si>
  <si>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</si>
  <si>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</si>
  <si>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</si>
  <si>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</si>
  <si>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</si>
  <si>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00.00.2018</t>
  </si>
  <si>
    <t>Ort</t>
  </si>
  <si>
    <t>Straße</t>
  </si>
  <si>
    <t>7. Spieltag</t>
  </si>
  <si>
    <t>optimaler Ausrichter: Team 7</t>
  </si>
  <si>
    <t>optimaler Ausrichter: Team 5</t>
  </si>
  <si>
    <t>optimaler Ausrichter: Team 3</t>
  </si>
  <si>
    <t>optimaler Ausrichter: Team 9</t>
  </si>
  <si>
    <t>optimaler Ausrichter: Team 6</t>
  </si>
  <si>
    <t>optimaler Ausrichter: Team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</si>
</sst>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7" formatCode="d/\ mmmm\ yyyy"/>
    <numFmt numFmtId="172" formatCode="h:mm:ss"/>
    <numFmt numFmtId="174" formatCode="0.000"/>
    <numFmt numFmtId="176" formatCode="0.00000000"/>
    <numFmt numFmtId="177" formatCode="h:mm;@"/>
  </numFmts>
  <fonts count="38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b/>
      <sz val="8"/>
      <color indexed="81"/>
      <name val="Tahoma"/>
      <family val="2"/>
    </font>
    <font>
      <sz val="1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5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72" fontId="1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2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74" fontId="4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172" fontId="1" fillId="3" borderId="3" xfId="0" applyNumberFormat="1" applyFont="1" applyFill="1" applyBorder="1" applyAlignment="1" applyProtection="1">
      <alignment horizontal="center"/>
      <protection locked="0"/>
    </xf>
    <xf numFmtId="172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4" fontId="4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74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0" xfId="0" applyFont="1" applyAlignment="1"/>
    <xf numFmtId="0" fontId="16" fillId="4" borderId="6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6" fillId="4" borderId="8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7" fillId="4" borderId="5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5" xfId="0" applyFont="1" applyBorder="1" applyAlignment="1"/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23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4" borderId="12" xfId="0" applyFont="1" applyFill="1" applyBorder="1" applyAlignment="1">
      <alignment horizontal="left" wrapText="1"/>
    </xf>
    <xf numFmtId="0" fontId="16" fillId="4" borderId="10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176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6" fontId="4" fillId="5" borderId="0" xfId="0" applyNumberFormat="1" applyFont="1" applyFill="1" applyProtection="1">
      <protection hidden="1"/>
    </xf>
    <xf numFmtId="0" fontId="4" fillId="5" borderId="0" xfId="0" applyFont="1" applyFill="1" applyProtection="1">
      <protection hidden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26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28" xfId="0" applyFont="1" applyBorder="1" applyAlignment="1" applyProtection="1">
      <alignment wrapText="1"/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0" fontId="16" fillId="0" borderId="33" xfId="0" applyFont="1" applyBorder="1" applyAlignment="1" applyProtection="1">
      <alignment wrapText="1"/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35" xfId="2" applyBorder="1" applyProtection="1"/>
    <xf numFmtId="0" fontId="4" fillId="0" borderId="36" xfId="2" applyBorder="1" applyProtection="1"/>
    <xf numFmtId="0" fontId="4" fillId="0" borderId="0" xfId="2" applyProtection="1"/>
    <xf numFmtId="0" fontId="4" fillId="0" borderId="0" xfId="2" applyFont="1" applyProtection="1"/>
    <xf numFmtId="0" fontId="4" fillId="0" borderId="0" xfId="2" applyBorder="1" applyProtection="1"/>
    <xf numFmtId="0" fontId="4" fillId="0" borderId="37" xfId="2" applyBorder="1" applyProtection="1"/>
    <xf numFmtId="0" fontId="1" fillId="0" borderId="38" xfId="2" applyFont="1" applyBorder="1" applyAlignment="1" applyProtection="1">
      <alignment vertical="center"/>
    </xf>
    <xf numFmtId="0" fontId="1" fillId="0" borderId="39" xfId="2" applyFont="1" applyBorder="1" applyAlignment="1" applyProtection="1">
      <alignment vertical="center"/>
    </xf>
    <xf numFmtId="0" fontId="4" fillId="0" borderId="40" xfId="2" applyBorder="1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4" fillId="0" borderId="37" xfId="2" applyBorder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41" xfId="2" applyFont="1" applyBorder="1" applyAlignment="1" applyProtection="1">
      <alignment vertical="center"/>
    </xf>
    <xf numFmtId="0" fontId="1" fillId="0" borderId="42" xfId="2" applyFont="1" applyBorder="1" applyAlignment="1" applyProtection="1">
      <alignment vertical="center"/>
    </xf>
    <xf numFmtId="0" fontId="4" fillId="0" borderId="43" xfId="2" applyBorder="1" applyAlignment="1" applyProtection="1">
      <alignment vertical="center"/>
    </xf>
    <xf numFmtId="0" fontId="4" fillId="0" borderId="44" xfId="2" applyBorder="1" applyProtection="1"/>
    <xf numFmtId="0" fontId="4" fillId="0" borderId="45" xfId="2" applyBorder="1" applyProtection="1"/>
    <xf numFmtId="0" fontId="4" fillId="4" borderId="45" xfId="2" applyFont="1" applyFill="1" applyBorder="1" applyProtection="1"/>
    <xf numFmtId="0" fontId="4" fillId="0" borderId="46" xfId="2" applyBorder="1" applyProtection="1"/>
    <xf numFmtId="0" fontId="4" fillId="0" borderId="11" xfId="2" applyBorder="1" applyProtection="1"/>
    <xf numFmtId="0" fontId="4" fillId="4" borderId="11" xfId="2" applyFont="1" applyFill="1" applyBorder="1" applyProtection="1"/>
    <xf numFmtId="0" fontId="4" fillId="0" borderId="39" xfId="2" applyBorder="1" applyProtection="1"/>
    <xf numFmtId="0" fontId="4" fillId="0" borderId="40" xfId="2" applyBorder="1" applyProtection="1"/>
    <xf numFmtId="0" fontId="4" fillId="10" borderId="47" xfId="2" applyFill="1" applyBorder="1" applyAlignment="1" applyProtection="1">
      <alignment horizontal="center"/>
      <protection locked="0"/>
    </xf>
    <xf numFmtId="0" fontId="4" fillId="0" borderId="25" xfId="2" applyFont="1" applyBorder="1" applyProtection="1"/>
    <xf numFmtId="0" fontId="4" fillId="0" borderId="1" xfId="2" applyFont="1" applyBorder="1" applyProtection="1"/>
    <xf numFmtId="0" fontId="1" fillId="0" borderId="0" xfId="2" applyFont="1" applyProtection="1"/>
    <xf numFmtId="0" fontId="4" fillId="0" borderId="48" xfId="2" applyBorder="1" applyProtection="1"/>
    <xf numFmtId="0" fontId="4" fillId="0" borderId="49" xfId="2" applyBorder="1" applyProtection="1"/>
    <xf numFmtId="0" fontId="4" fillId="4" borderId="49" xfId="2" applyFont="1" applyFill="1" applyBorder="1" applyProtection="1"/>
    <xf numFmtId="0" fontId="4" fillId="0" borderId="25" xfId="2" applyBorder="1" applyProtection="1"/>
    <xf numFmtId="0" fontId="4" fillId="8" borderId="0" xfId="2" applyFill="1" applyBorder="1" applyProtection="1">
      <protection locked="0"/>
    </xf>
    <xf numFmtId="0" fontId="4" fillId="4" borderId="0" xfId="2" applyFont="1" applyFill="1" applyBorder="1" applyProtection="1">
      <protection locked="0"/>
    </xf>
    <xf numFmtId="1" fontId="2" fillId="0" borderId="11" xfId="2" applyNumberFormat="1" applyFont="1" applyBorder="1" applyAlignment="1" applyProtection="1">
      <alignment horizontal="left"/>
      <protection locked="0"/>
    </xf>
    <xf numFmtId="0" fontId="4" fillId="0" borderId="11" xfId="2" applyBorder="1" applyProtection="1">
      <protection locked="0"/>
    </xf>
    <xf numFmtId="0" fontId="4" fillId="0" borderId="0" xfId="2" applyBorder="1" applyProtection="1">
      <protection locked="0"/>
    </xf>
    <xf numFmtId="0" fontId="4" fillId="0" borderId="50" xfId="2" applyBorder="1" applyProtection="1">
      <protection locked="0"/>
    </xf>
    <xf numFmtId="0" fontId="37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49" xfId="2" applyBorder="1" applyProtection="1">
      <protection locked="0"/>
    </xf>
    <xf numFmtId="0" fontId="4" fillId="4" borderId="49" xfId="2" applyFont="1" applyFill="1" applyBorder="1" applyProtection="1">
      <protection locked="0"/>
    </xf>
    <xf numFmtId="0" fontId="4" fillId="0" borderId="25" xfId="2" applyBorder="1" applyProtection="1">
      <protection locked="0"/>
    </xf>
    <xf numFmtId="0" fontId="4" fillId="0" borderId="49" xfId="2" applyFont="1" applyBorder="1" applyAlignment="1" applyProtection="1">
      <alignment horizontal="left"/>
      <protection locked="0"/>
    </xf>
    <xf numFmtId="0" fontId="4" fillId="8" borderId="49" xfId="2" applyFill="1" applyBorder="1" applyProtection="1">
      <protection locked="0"/>
    </xf>
    <xf numFmtId="0" fontId="2" fillId="0" borderId="49" xfId="2" applyFont="1" applyBorder="1" applyAlignment="1" applyProtection="1">
      <alignment horizontal="left"/>
      <protection locked="0"/>
    </xf>
    <xf numFmtId="0" fontId="2" fillId="0" borderId="49" xfId="2" applyFont="1" applyBorder="1" applyProtection="1">
      <protection locked="0"/>
    </xf>
    <xf numFmtId="0" fontId="4" fillId="8" borderId="51" xfId="2" applyFill="1" applyBorder="1" applyProtection="1">
      <protection locked="0"/>
    </xf>
    <xf numFmtId="0" fontId="2" fillId="0" borderId="52" xfId="2" applyFont="1" applyBorder="1" applyProtection="1">
      <protection locked="0"/>
    </xf>
    <xf numFmtId="0" fontId="4" fillId="0" borderId="53" xfId="2" applyBorder="1" applyProtection="1"/>
    <xf numFmtId="0" fontId="4" fillId="0" borderId="54" xfId="2" applyBorder="1" applyProtection="1"/>
    <xf numFmtId="0" fontId="4" fillId="4" borderId="54" xfId="2" applyFont="1" applyFill="1" applyBorder="1" applyProtection="1"/>
    <xf numFmtId="0" fontId="4" fillId="0" borderId="55" xfId="2" applyBorder="1" applyProtection="1"/>
    <xf numFmtId="0" fontId="4" fillId="0" borderId="56" xfId="2" applyBorder="1" applyProtection="1">
      <protection locked="0"/>
    </xf>
    <xf numFmtId="0" fontId="4" fillId="4" borderId="56" xfId="2" applyFont="1" applyFill="1" applyBorder="1" applyProtection="1">
      <protection locked="0"/>
    </xf>
    <xf numFmtId="0" fontId="4" fillId="0" borderId="57" xfId="2" applyBorder="1" applyProtection="1">
      <protection locked="0"/>
    </xf>
    <xf numFmtId="0" fontId="2" fillId="0" borderId="56" xfId="2" applyFont="1" applyBorder="1" applyProtection="1">
      <protection locked="0"/>
    </xf>
    <xf numFmtId="0" fontId="2" fillId="0" borderId="58" xfId="2" applyFont="1" applyBorder="1" applyProtection="1">
      <protection locked="0"/>
    </xf>
    <xf numFmtId="0" fontId="4" fillId="0" borderId="59" xfId="2" applyBorder="1" applyAlignment="1" applyProtection="1">
      <alignment horizontal="center" vertical="center"/>
    </xf>
    <xf numFmtId="0" fontId="4" fillId="8" borderId="60" xfId="2" applyFont="1" applyFill="1" applyBorder="1" applyAlignment="1" applyProtection="1">
      <alignment horizontal="center" vertical="center" wrapText="1"/>
    </xf>
    <xf numFmtId="0" fontId="4" fillId="8" borderId="61" xfId="2" applyFont="1" applyFill="1" applyBorder="1" applyAlignment="1" applyProtection="1">
      <alignment horizontal="center" vertical="center" wrapText="1"/>
    </xf>
    <xf numFmtId="0" fontId="4" fillId="0" borderId="62" xfId="2" applyBorder="1" applyProtection="1"/>
    <xf numFmtId="0" fontId="29" fillId="5" borderId="63" xfId="2" applyFont="1" applyFill="1" applyBorder="1" applyAlignment="1" applyProtection="1">
      <alignment vertical="center" wrapText="1"/>
    </xf>
    <xf numFmtId="0" fontId="4" fillId="5" borderId="64" xfId="2" applyFont="1" applyFill="1" applyBorder="1" applyAlignment="1" applyProtection="1">
      <alignment vertical="center"/>
    </xf>
    <xf numFmtId="0" fontId="10" fillId="8" borderId="65" xfId="2" applyFont="1" applyFill="1" applyBorder="1" applyAlignment="1" applyProtection="1">
      <alignment vertical="center"/>
    </xf>
    <xf numFmtId="0" fontId="10" fillId="8" borderId="66" xfId="2" applyFont="1" applyFill="1" applyBorder="1" applyAlignment="1" applyProtection="1">
      <alignment vertical="center"/>
    </xf>
    <xf numFmtId="0" fontId="29" fillId="8" borderId="67" xfId="2" applyFont="1" applyFill="1" applyBorder="1" applyAlignment="1" applyProtection="1">
      <alignment vertical="center" wrapText="1"/>
    </xf>
    <xf numFmtId="0" fontId="4" fillId="4" borderId="42" xfId="2" applyFont="1" applyFill="1" applyBorder="1" applyAlignment="1" applyProtection="1">
      <alignment vertical="center" wrapText="1"/>
    </xf>
    <xf numFmtId="0" fontId="12" fillId="8" borderId="68" xfId="2" applyFont="1" applyFill="1" applyBorder="1" applyAlignment="1" applyProtection="1">
      <alignment vertical="center"/>
    </xf>
    <xf numFmtId="0" fontId="4" fillId="8" borderId="42" xfId="2" applyFont="1" applyFill="1" applyBorder="1" applyAlignment="1" applyProtection="1">
      <alignment vertical="center"/>
    </xf>
    <xf numFmtId="0" fontId="4" fillId="5" borderId="65" xfId="2" applyFont="1" applyFill="1" applyBorder="1" applyAlignment="1" applyProtection="1">
      <alignment vertical="center"/>
    </xf>
    <xf numFmtId="0" fontId="4" fillId="5" borderId="66" xfId="2" applyFont="1" applyFill="1" applyBorder="1" applyAlignment="1" applyProtection="1">
      <alignment vertical="center"/>
    </xf>
    <xf numFmtId="0" fontId="4" fillId="5" borderId="69" xfId="2" applyFont="1" applyFill="1" applyBorder="1" applyAlignment="1" applyProtection="1">
      <alignment vertical="center"/>
    </xf>
    <xf numFmtId="0" fontId="10" fillId="4" borderId="7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29" fillId="4" borderId="0" xfId="2" applyFont="1" applyFill="1" applyBorder="1" applyAlignment="1" applyProtection="1">
      <alignment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4" fillId="4" borderId="0" xfId="2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vertical="center"/>
    </xf>
    <xf numFmtId="0" fontId="4" fillId="4" borderId="15" xfId="2" applyFont="1" applyFill="1" applyBorder="1" applyAlignment="1" applyProtection="1">
      <alignment vertical="center"/>
    </xf>
    <xf numFmtId="0" fontId="4" fillId="4" borderId="71" xfId="2" applyFont="1" applyFill="1" applyBorder="1" applyAlignment="1" applyProtection="1">
      <alignment vertical="center"/>
    </xf>
    <xf numFmtId="0" fontId="4" fillId="4" borderId="72" xfId="2" applyFont="1" applyFill="1" applyBorder="1" applyAlignment="1" applyProtection="1">
      <alignment vertical="center"/>
    </xf>
    <xf numFmtId="0" fontId="4" fillId="4" borderId="0" xfId="2" applyFill="1" applyBorder="1" applyProtection="1"/>
    <xf numFmtId="0" fontId="4" fillId="4" borderId="0" xfId="2" applyFont="1" applyFill="1" applyBorder="1" applyProtection="1"/>
    <xf numFmtId="0" fontId="11" fillId="8" borderId="73" xfId="2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74" xfId="2" applyFont="1" applyFill="1" applyBorder="1" applyAlignment="1" applyProtection="1">
      <alignment horizontal="center"/>
      <protection locked="0"/>
    </xf>
    <xf numFmtId="0" fontId="4" fillId="4" borderId="75" xfId="2" applyFont="1" applyFill="1" applyBorder="1" applyAlignment="1" applyProtection="1">
      <alignment horizontal="center"/>
      <protection locked="0"/>
    </xf>
    <xf numFmtId="0" fontId="4" fillId="0" borderId="76" xfId="2" applyBorder="1" applyProtection="1">
      <protection locked="0"/>
    </xf>
    <xf numFmtId="0" fontId="2" fillId="8" borderId="77" xfId="2" applyFont="1" applyFill="1" applyBorder="1" applyAlignment="1" applyProtection="1">
      <alignment horizontal="center"/>
      <protection locked="0"/>
    </xf>
    <xf numFmtId="0" fontId="2" fillId="8" borderId="78" xfId="2" applyFont="1" applyFill="1" applyBorder="1" applyAlignment="1" applyProtection="1">
      <alignment horizontal="center"/>
      <protection locked="0"/>
    </xf>
    <xf numFmtId="0" fontId="2" fillId="8" borderId="77" xfId="2" applyFont="1" applyFill="1" applyBorder="1" applyAlignment="1" applyProtection="1">
      <alignment horizontal="center" vertical="center"/>
      <protection locked="0"/>
    </xf>
    <xf numFmtId="0" fontId="11" fillId="8" borderId="79" xfId="2" applyFont="1" applyFill="1" applyBorder="1" applyAlignment="1" applyProtection="1">
      <alignment horizontal="center" vertical="center"/>
      <protection locked="0"/>
    </xf>
    <xf numFmtId="0" fontId="2" fillId="8" borderId="28" xfId="2" applyFont="1" applyFill="1" applyBorder="1" applyProtection="1">
      <protection locked="0"/>
    </xf>
    <xf numFmtId="0" fontId="4" fillId="0" borderId="79" xfId="2" applyBorder="1" applyProtection="1">
      <protection locked="0"/>
    </xf>
    <xf numFmtId="0" fontId="4" fillId="8" borderId="1" xfId="2" applyFill="1" applyBorder="1" applyProtection="1">
      <protection locked="0"/>
    </xf>
    <xf numFmtId="0" fontId="4" fillId="8" borderId="80" xfId="2" applyFill="1" applyBorder="1" applyProtection="1">
      <protection locked="0"/>
    </xf>
    <xf numFmtId="0" fontId="2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Protection="1">
      <protection locked="0"/>
    </xf>
    <xf numFmtId="0" fontId="30" fillId="8" borderId="28" xfId="2" applyFont="1" applyFill="1" applyBorder="1" applyAlignment="1" applyProtection="1">
      <alignment horizontal="left" vertical="center"/>
      <protection locked="0"/>
    </xf>
    <xf numFmtId="0" fontId="30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Alignment="1" applyProtection="1">
      <protection locked="0"/>
    </xf>
    <xf numFmtId="0" fontId="8" fillId="8" borderId="2" xfId="2" applyFont="1" applyFill="1" applyBorder="1" applyProtection="1">
      <protection locked="0"/>
    </xf>
    <xf numFmtId="0" fontId="4" fillId="8" borderId="81" xfId="2" applyFill="1" applyBorder="1" applyProtection="1">
      <protection locked="0"/>
    </xf>
    <xf numFmtId="0" fontId="11" fillId="8" borderId="82" xfId="2" applyFont="1" applyFill="1" applyBorder="1" applyAlignment="1" applyProtection="1">
      <alignment horizontal="center" vertical="center"/>
      <protection locked="0"/>
    </xf>
    <xf numFmtId="0" fontId="2" fillId="8" borderId="2" xfId="2" applyFont="1" applyFill="1" applyBorder="1" applyAlignment="1" applyProtection="1">
      <alignment horizontal="center" vertical="center"/>
      <protection locked="0"/>
    </xf>
    <xf numFmtId="0" fontId="30" fillId="8" borderId="83" xfId="2" applyFont="1" applyFill="1" applyBorder="1" applyAlignment="1" applyProtection="1">
      <alignment horizontal="left" vertical="center"/>
      <protection locked="0"/>
    </xf>
    <xf numFmtId="0" fontId="4" fillId="0" borderId="82" xfId="2" applyBorder="1" applyProtection="1">
      <protection locked="0"/>
    </xf>
    <xf numFmtId="0" fontId="1" fillId="8" borderId="2" xfId="2" applyFont="1" applyFill="1" applyBorder="1" applyProtection="1">
      <protection locked="0"/>
    </xf>
    <xf numFmtId="0" fontId="1" fillId="8" borderId="81" xfId="2" applyFont="1" applyFill="1" applyBorder="1" applyProtection="1">
      <protection locked="0"/>
    </xf>
    <xf numFmtId="0" fontId="1" fillId="8" borderId="44" xfId="2" applyFont="1" applyFill="1" applyBorder="1" applyAlignment="1" applyProtection="1">
      <alignment vertical="center"/>
    </xf>
    <xf numFmtId="0" fontId="1" fillId="8" borderId="45" xfId="2" applyFont="1" applyFill="1" applyBorder="1" applyProtection="1"/>
    <xf numFmtId="0" fontId="4" fillId="8" borderId="45" xfId="2" applyFont="1" applyFill="1" applyBorder="1" applyProtection="1"/>
    <xf numFmtId="0" fontId="1" fillId="8" borderId="84" xfId="2" applyFont="1" applyFill="1" applyBorder="1" applyProtection="1">
      <protection locked="0"/>
    </xf>
    <xf numFmtId="0" fontId="1" fillId="0" borderId="85" xfId="2" applyFont="1" applyFill="1" applyBorder="1" applyProtection="1">
      <protection locked="0"/>
    </xf>
    <xf numFmtId="0" fontId="1" fillId="8" borderId="53" xfId="2" applyFont="1" applyFill="1" applyBorder="1" applyAlignment="1" applyProtection="1">
      <alignment vertical="center"/>
    </xf>
    <xf numFmtId="0" fontId="1" fillId="8" borderId="54" xfId="2" applyFont="1" applyFill="1" applyBorder="1" applyProtection="1"/>
    <xf numFmtId="0" fontId="4" fillId="8" borderId="86" xfId="2" applyFont="1" applyFill="1" applyBorder="1" applyProtection="1"/>
    <xf numFmtId="0" fontId="4" fillId="0" borderId="87" xfId="2" applyBorder="1" applyProtection="1">
      <protection locked="0"/>
    </xf>
    <xf numFmtId="0" fontId="1" fillId="8" borderId="88" xfId="2" applyFont="1" applyFill="1" applyBorder="1" applyProtection="1">
      <protection locked="0"/>
    </xf>
    <xf numFmtId="0" fontId="1" fillId="0" borderId="89" xfId="2" applyFont="1" applyFill="1" applyBorder="1" applyProtection="1">
      <protection locked="0"/>
    </xf>
    <xf numFmtId="0" fontId="1" fillId="8" borderId="90" xfId="2" applyNumberFormat="1" applyFont="1" applyFill="1" applyBorder="1" applyAlignment="1" applyProtection="1">
      <alignment vertical="center"/>
    </xf>
    <xf numFmtId="0" fontId="4" fillId="8" borderId="71" xfId="2" applyFill="1" applyBorder="1" applyAlignment="1" applyProtection="1">
      <alignment horizontal="center" vertical="center"/>
    </xf>
    <xf numFmtId="0" fontId="1" fillId="8" borderId="23" xfId="2" applyFont="1" applyFill="1" applyBorder="1" applyAlignment="1" applyProtection="1">
      <alignment horizontal="centerContinuous" vertical="center"/>
    </xf>
    <xf numFmtId="0" fontId="4" fillId="4" borderId="23" xfId="2" applyFont="1" applyFill="1" applyBorder="1" applyAlignment="1" applyProtection="1">
      <alignment horizontal="centerContinuous" vertical="center"/>
    </xf>
    <xf numFmtId="0" fontId="4" fillId="8" borderId="0" xfId="2" applyFill="1" applyBorder="1" applyProtection="1"/>
    <xf numFmtId="0" fontId="1" fillId="8" borderId="23" xfId="2" applyFont="1" applyFill="1" applyBorder="1" applyAlignment="1" applyProtection="1">
      <alignment horizontal="left" vertical="center"/>
      <protection locked="0"/>
    </xf>
    <xf numFmtId="0" fontId="1" fillId="8" borderId="0" xfId="2" applyFont="1" applyFill="1" applyBorder="1" applyAlignment="1" applyProtection="1">
      <alignment vertical="center"/>
      <protection locked="0"/>
    </xf>
    <xf numFmtId="0" fontId="4" fillId="8" borderId="91" xfId="2" applyFill="1" applyBorder="1" applyAlignment="1" applyProtection="1">
      <alignment horizontal="centerContinuous" vertical="center"/>
      <protection locked="0"/>
    </xf>
    <xf numFmtId="0" fontId="4" fillId="8" borderId="23" xfId="2" applyFill="1" applyBorder="1" applyAlignment="1" applyProtection="1">
      <alignment horizontal="centerContinuous" vertical="center"/>
      <protection locked="0"/>
    </xf>
    <xf numFmtId="0" fontId="1" fillId="8" borderId="92" xfId="2" applyFont="1" applyFill="1" applyBorder="1" applyAlignment="1" applyProtection="1">
      <alignment horizontal="left" vertical="center"/>
      <protection locked="0"/>
    </xf>
    <xf numFmtId="0" fontId="4" fillId="8" borderId="91" xfId="2" applyFill="1" applyBorder="1" applyProtection="1">
      <protection locked="0"/>
    </xf>
    <xf numFmtId="0" fontId="4" fillId="8" borderId="93" xfId="2" applyFill="1" applyBorder="1" applyProtection="1"/>
    <xf numFmtId="0" fontId="1" fillId="0" borderId="93" xfId="2" applyFont="1" applyBorder="1" applyAlignment="1" applyProtection="1">
      <alignment horizontal="center"/>
    </xf>
    <xf numFmtId="0" fontId="4" fillId="0" borderId="75" xfId="2" applyBorder="1" applyProtection="1">
      <protection locked="0"/>
    </xf>
    <xf numFmtId="0" fontId="11" fillId="0" borderId="94" xfId="2" applyFont="1" applyBorder="1" applyAlignment="1" applyProtection="1">
      <alignment horizontal="center"/>
      <protection locked="0"/>
    </xf>
    <xf numFmtId="0" fontId="11" fillId="8" borderId="77" xfId="2" applyFont="1" applyFill="1" applyBorder="1" applyAlignment="1" applyProtection="1">
      <alignment horizontal="center"/>
      <protection locked="0"/>
    </xf>
    <xf numFmtId="0" fontId="11" fillId="8" borderId="74" xfId="2" applyFont="1" applyFill="1" applyBorder="1" applyAlignment="1" applyProtection="1">
      <alignment horizontal="center"/>
      <protection locked="0"/>
    </xf>
    <xf numFmtId="0" fontId="11" fillId="8" borderId="94" xfId="2" applyFont="1" applyFill="1" applyBorder="1" applyAlignment="1" applyProtection="1">
      <alignment horizontal="center"/>
      <protection locked="0"/>
    </xf>
    <xf numFmtId="0" fontId="11" fillId="0" borderId="77" xfId="2" applyFont="1" applyFill="1" applyBorder="1" applyAlignment="1" applyProtection="1">
      <alignment horizontal="center"/>
      <protection locked="0"/>
    </xf>
    <xf numFmtId="0" fontId="11" fillId="8" borderId="95" xfId="2" applyFont="1" applyFill="1" applyBorder="1" applyAlignment="1" applyProtection="1">
      <alignment horizontal="center"/>
      <protection locked="0"/>
    </xf>
    <xf numFmtId="0" fontId="11" fillId="8" borderId="78" xfId="2" applyFont="1" applyFill="1" applyBorder="1" applyAlignment="1" applyProtection="1">
      <alignment horizontal="center"/>
      <protection locked="0"/>
    </xf>
    <xf numFmtId="0" fontId="4" fillId="0" borderId="0" xfId="2"/>
    <xf numFmtId="0" fontId="4" fillId="0" borderId="0" xfId="2" applyFont="1"/>
    <xf numFmtId="0" fontId="4" fillId="8" borderId="34" xfId="2" applyFill="1" applyBorder="1" applyProtection="1"/>
    <xf numFmtId="0" fontId="1" fillId="0" borderId="34" xfId="2" applyFont="1" applyBorder="1" applyAlignment="1" applyProtection="1">
      <alignment horizontal="center"/>
    </xf>
    <xf numFmtId="0" fontId="4" fillId="0" borderId="96" xfId="2" applyBorder="1" applyProtection="1">
      <protection locked="0"/>
    </xf>
    <xf numFmtId="0" fontId="11" fillId="0" borderId="31" xfId="2" applyFont="1" applyBorder="1" applyAlignment="1" applyProtection="1">
      <alignment horizontal="center"/>
      <protection locked="0"/>
    </xf>
    <xf numFmtId="0" fontId="11" fillId="8" borderId="32" xfId="2" applyFont="1" applyFill="1" applyBorder="1" applyAlignment="1" applyProtection="1">
      <alignment horizontal="center"/>
      <protection locked="0"/>
    </xf>
    <xf numFmtId="0" fontId="11" fillId="8" borderId="33" xfId="2" applyFont="1" applyFill="1" applyBorder="1" applyAlignment="1" applyProtection="1">
      <alignment horizontal="center"/>
      <protection locked="0"/>
    </xf>
    <xf numFmtId="0" fontId="11" fillId="8" borderId="31" xfId="2" applyFont="1" applyFill="1" applyBorder="1" applyAlignment="1" applyProtection="1">
      <alignment horizontal="center"/>
      <protection locked="0"/>
    </xf>
    <xf numFmtId="0" fontId="11" fillId="0" borderId="32" xfId="2" applyFont="1" applyFill="1" applyBorder="1" applyAlignment="1" applyProtection="1">
      <alignment horizontal="center"/>
      <protection locked="0"/>
    </xf>
    <xf numFmtId="0" fontId="11" fillId="8" borderId="97" xfId="2" applyFont="1" applyFill="1" applyBorder="1" applyAlignment="1" applyProtection="1">
      <alignment horizontal="center"/>
      <protection locked="0"/>
    </xf>
    <xf numFmtId="0" fontId="11" fillId="8" borderId="98" xfId="2" applyFont="1" applyFill="1" applyBorder="1" applyAlignment="1" applyProtection="1">
      <alignment horizontal="center"/>
      <protection locked="0"/>
    </xf>
    <xf numFmtId="0" fontId="1" fillId="0" borderId="99" xfId="2" applyFont="1" applyBorder="1" applyAlignment="1" applyProtection="1">
      <alignment horizontal="center"/>
    </xf>
    <xf numFmtId="0" fontId="11" fillId="0" borderId="16" xfId="2" applyFont="1" applyBorder="1" applyAlignment="1" applyProtection="1">
      <alignment horizontal="center"/>
      <protection locked="0"/>
    </xf>
    <xf numFmtId="0" fontId="11" fillId="8" borderId="2" xfId="2" applyFont="1" applyFill="1" applyBorder="1" applyAlignment="1" applyProtection="1">
      <alignment horizontal="center"/>
      <protection locked="0"/>
    </xf>
    <xf numFmtId="0" fontId="11" fillId="8" borderId="83" xfId="2" applyFont="1" applyFill="1" applyBorder="1" applyAlignment="1" applyProtection="1">
      <alignment horizontal="center"/>
      <protection locked="0"/>
    </xf>
    <xf numFmtId="0" fontId="11" fillId="8" borderId="16" xfId="2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8" borderId="100" xfId="2" applyFont="1" applyFill="1" applyBorder="1" applyAlignment="1" applyProtection="1">
      <alignment horizontal="center"/>
      <protection locked="0"/>
    </xf>
    <xf numFmtId="0" fontId="11" fillId="8" borderId="81" xfId="2" applyFont="1" applyFill="1" applyBorder="1" applyAlignment="1" applyProtection="1">
      <alignment horizontal="center"/>
      <protection locked="0"/>
    </xf>
    <xf numFmtId="0" fontId="4" fillId="0" borderId="101" xfId="2" applyBorder="1" applyProtection="1">
      <protection locked="0"/>
    </xf>
    <xf numFmtId="0" fontId="4" fillId="0" borderId="102" xfId="2" applyBorder="1" applyProtection="1">
      <protection locked="0"/>
    </xf>
    <xf numFmtId="0" fontId="4" fillId="0" borderId="103" xfId="2" applyBorder="1" applyProtection="1">
      <protection locked="0"/>
    </xf>
    <xf numFmtId="0" fontId="4" fillId="8" borderId="104" xfId="2" applyFill="1" applyBorder="1" applyProtection="1"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0" xfId="2" applyFont="1"/>
    <xf numFmtId="0" fontId="2" fillId="0" borderId="104" xfId="2" applyFont="1" applyFill="1" applyBorder="1" applyAlignment="1" applyProtection="1">
      <alignment horizontal="center" vertic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4" fillId="8" borderId="105" xfId="2" applyFont="1" applyFill="1" applyBorder="1" applyAlignment="1" applyProtection="1">
      <alignment vertical="center"/>
    </xf>
    <xf numFmtId="0" fontId="4" fillId="8" borderId="106" xfId="2" applyFont="1" applyFill="1" applyBorder="1" applyAlignment="1" applyProtection="1">
      <alignment vertical="center"/>
    </xf>
    <xf numFmtId="0" fontId="4" fillId="4" borderId="106" xfId="2" applyFont="1" applyFill="1" applyBorder="1" applyAlignment="1" applyProtection="1">
      <alignment vertical="center"/>
    </xf>
    <xf numFmtId="0" fontId="33" fillId="8" borderId="106" xfId="2" applyFont="1" applyFill="1" applyBorder="1" applyAlignment="1" applyProtection="1">
      <alignment vertical="center"/>
    </xf>
    <xf numFmtId="0" fontId="4" fillId="8" borderId="107" xfId="2" applyFont="1" applyFill="1" applyBorder="1" applyAlignment="1" applyProtection="1">
      <alignment vertical="center"/>
    </xf>
    <xf numFmtId="0" fontId="4" fillId="8" borderId="108" xfId="2" applyFont="1" applyFill="1" applyBorder="1" applyAlignment="1" applyProtection="1">
      <alignment vertical="center"/>
    </xf>
    <xf numFmtId="0" fontId="34" fillId="8" borderId="106" xfId="2" applyFont="1" applyFill="1" applyBorder="1" applyAlignment="1" applyProtection="1">
      <alignment vertical="center"/>
    </xf>
    <xf numFmtId="0" fontId="35" fillId="8" borderId="106" xfId="2" applyFont="1" applyFill="1" applyBorder="1" applyAlignment="1" applyProtection="1">
      <alignment vertical="center"/>
    </xf>
    <xf numFmtId="0" fontId="35" fillId="8" borderId="109" xfId="2" applyFont="1" applyFill="1" applyBorder="1" applyAlignment="1" applyProtection="1">
      <alignment vertical="center"/>
    </xf>
    <xf numFmtId="0" fontId="4" fillId="8" borderId="108" xfId="2" applyFill="1" applyBorder="1" applyAlignment="1" applyProtection="1">
      <alignment vertical="center"/>
    </xf>
    <xf numFmtId="0" fontId="36" fillId="8" borderId="106" xfId="2" applyFont="1" applyFill="1" applyBorder="1" applyAlignment="1" applyProtection="1">
      <alignment vertical="center"/>
    </xf>
    <xf numFmtId="0" fontId="8" fillId="8" borderId="109" xfId="2" applyFont="1" applyFill="1" applyBorder="1" applyAlignment="1" applyProtection="1">
      <alignment vertical="center"/>
    </xf>
    <xf numFmtId="0" fontId="10" fillId="8" borderId="110" xfId="2" applyFont="1" applyFill="1" applyBorder="1" applyAlignment="1" applyProtection="1">
      <alignment vertical="center"/>
    </xf>
    <xf numFmtId="0" fontId="10" fillId="8" borderId="111" xfId="2" applyFont="1" applyFill="1" applyBorder="1" applyAlignment="1" applyProtection="1">
      <alignment vertical="center"/>
    </xf>
    <xf numFmtId="0" fontId="4" fillId="4" borderId="111" xfId="2" applyFont="1" applyFill="1" applyBorder="1" applyAlignment="1" applyProtection="1">
      <alignment vertical="center"/>
    </xf>
    <xf numFmtId="0" fontId="10" fillId="8" borderId="112" xfId="2" applyFont="1" applyFill="1" applyBorder="1" applyAlignment="1" applyProtection="1">
      <alignment vertical="center"/>
    </xf>
    <xf numFmtId="0" fontId="10" fillId="8" borderId="113" xfId="2" applyFont="1" applyFill="1" applyBorder="1" applyAlignment="1" applyProtection="1">
      <alignment vertical="center"/>
    </xf>
    <xf numFmtId="0" fontId="10" fillId="8" borderId="114" xfId="2" applyFont="1" applyFill="1" applyBorder="1" applyAlignment="1" applyProtection="1">
      <alignment vertical="center"/>
    </xf>
    <xf numFmtId="0" fontId="10" fillId="8" borderId="115" xfId="2" applyFont="1" applyFill="1" applyBorder="1" applyAlignment="1" applyProtection="1">
      <alignment vertical="center"/>
    </xf>
    <xf numFmtId="0" fontId="4" fillId="4" borderId="0" xfId="2" applyFont="1" applyFill="1"/>
    <xf numFmtId="0" fontId="1" fillId="0" borderId="0" xfId="2" applyFont="1"/>
    <xf numFmtId="0" fontId="4" fillId="8" borderId="0" xfId="2" applyFill="1"/>
    <xf numFmtId="0" fontId="7" fillId="0" borderId="0" xfId="0" applyFont="1" applyFill="1" applyAlignment="1" applyProtection="1">
      <alignment wrapText="1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3" fillId="0" borderId="0" xfId="0" applyNumberFormat="1" applyFont="1" applyFill="1"/>
    <xf numFmtId="1" fontId="4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0" fontId="3" fillId="11" borderId="1" xfId="0" applyNumberFormat="1" applyFont="1" applyFill="1" applyBorder="1" applyAlignment="1">
      <alignment horizontal="center" vertical="top"/>
    </xf>
    <xf numFmtId="1" fontId="3" fillId="11" borderId="1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left"/>
    </xf>
    <xf numFmtId="1" fontId="3" fillId="11" borderId="2" xfId="0" applyNumberFormat="1" applyFont="1" applyFill="1" applyBorder="1" applyAlignment="1">
      <alignment horizontal="left"/>
    </xf>
    <xf numFmtId="0" fontId="3" fillId="11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 applyProtection="1">
      <alignment horizontal="center"/>
    </xf>
    <xf numFmtId="0" fontId="3" fillId="11" borderId="1" xfId="0" applyFont="1" applyFill="1" applyBorder="1" applyAlignment="1" applyProtection="1">
      <alignment horizontal="center"/>
    </xf>
    <xf numFmtId="0" fontId="3" fillId="11" borderId="1" xfId="0" applyFont="1" applyFill="1" applyBorder="1" applyProtection="1"/>
    <xf numFmtId="1" fontId="3" fillId="11" borderId="1" xfId="0" applyNumberFormat="1" applyFont="1" applyFill="1" applyBorder="1" applyAlignment="1">
      <alignment horizontal="left"/>
    </xf>
    <xf numFmtId="1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" fillId="0" borderId="1" xfId="0" applyFont="1" applyFill="1" applyBorder="1"/>
    <xf numFmtId="20" fontId="2" fillId="11" borderId="1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6" fillId="0" borderId="0" xfId="0" applyFont="1" applyFill="1" applyAlignment="1" applyProtection="1">
      <alignment horizontal="left"/>
    </xf>
    <xf numFmtId="0" fontId="2" fillId="11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0" fillId="9" borderId="1" xfId="0" applyFont="1" applyFill="1" applyBorder="1" applyAlignment="1">
      <alignment horizontal="center" wrapText="1"/>
    </xf>
    <xf numFmtId="167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16" fillId="0" borderId="117" xfId="0" applyFont="1" applyBorder="1" applyAlignment="1">
      <alignment horizontal="left" wrapText="1" indent="1"/>
    </xf>
    <xf numFmtId="0" fontId="16" fillId="0" borderId="23" xfId="0" applyFont="1" applyBorder="1" applyAlignment="1">
      <alignment horizontal="left" wrapText="1" indent="1"/>
    </xf>
    <xf numFmtId="0" fontId="9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2" fillId="0" borderId="16" xfId="0" applyFont="1" applyBorder="1" applyAlignment="1"/>
    <xf numFmtId="0" fontId="0" fillId="0" borderId="2" xfId="0" applyBorder="1" applyAlignment="1"/>
    <xf numFmtId="0" fontId="0" fillId="0" borderId="83" xfId="0" applyBorder="1" applyAlignment="1"/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2" fillId="0" borderId="116" xfId="0" applyFont="1" applyBorder="1" applyAlignment="1"/>
    <xf numFmtId="0" fontId="12" fillId="0" borderId="49" xfId="0" applyFont="1" applyBorder="1" applyAlignment="1"/>
    <xf numFmtId="0" fontId="12" fillId="0" borderId="26" xfId="0" applyFont="1" applyBorder="1" applyAlignment="1"/>
    <xf numFmtId="0" fontId="13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6" fillId="0" borderId="0" xfId="0" applyFont="1" applyBorder="1" applyAlignment="1" applyProtection="1">
      <alignment horizontal="left" indent="1"/>
      <protection locked="0"/>
    </xf>
    <xf numFmtId="0" fontId="19" fillId="0" borderId="0" xfId="0" applyFont="1" applyBorder="1" applyAlignment="1" applyProtection="1">
      <alignment horizontal="left" indent="1"/>
      <protection locked="0"/>
    </xf>
    <xf numFmtId="0" fontId="16" fillId="4" borderId="6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" fillId="0" borderId="130" xfId="2" applyFont="1" applyFill="1" applyBorder="1" applyAlignment="1" applyProtection="1">
      <alignment horizontal="center" vertical="center"/>
    </xf>
    <xf numFmtId="0" fontId="1" fillId="0" borderId="131" xfId="2" applyFont="1" applyFill="1" applyBorder="1" applyAlignment="1" applyProtection="1">
      <alignment horizontal="center" vertical="center"/>
    </xf>
    <xf numFmtId="0" fontId="1" fillId="0" borderId="132" xfId="2" applyFont="1" applyFill="1" applyBorder="1" applyAlignment="1" applyProtection="1">
      <alignment horizontal="center" vertical="center"/>
    </xf>
    <xf numFmtId="0" fontId="8" fillId="0" borderId="129" xfId="2" applyFont="1" applyBorder="1" applyAlignment="1" applyProtection="1">
      <alignment horizontal="center"/>
      <protection locked="0"/>
    </xf>
    <xf numFmtId="0" fontId="8" fillId="0" borderId="96" xfId="2" applyFont="1" applyBorder="1" applyAlignment="1" applyProtection="1">
      <alignment horizontal="center"/>
      <protection locked="0"/>
    </xf>
    <xf numFmtId="0" fontId="8" fillId="0" borderId="133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center"/>
    </xf>
    <xf numFmtId="0" fontId="8" fillId="0" borderId="134" xfId="2" applyFont="1" applyBorder="1" applyAlignment="1" applyProtection="1">
      <alignment horizontal="center" vertical="center"/>
    </xf>
    <xf numFmtId="0" fontId="28" fillId="0" borderId="6" xfId="2" applyFont="1" applyBorder="1" applyAlignment="1" applyProtection="1">
      <alignment horizontal="center" vertic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8" fillId="0" borderId="8" xfId="2" applyFont="1" applyBorder="1" applyAlignment="1" applyProtection="1">
      <alignment horizontal="center" vertical="center"/>
      <protection locked="0"/>
    </xf>
    <xf numFmtId="0" fontId="28" fillId="0" borderId="135" xfId="2" applyFont="1" applyBorder="1" applyAlignment="1" applyProtection="1">
      <alignment horizontal="center" vertical="center"/>
      <protection locked="0"/>
    </xf>
    <xf numFmtId="0" fontId="28" fillId="0" borderId="39" xfId="2" applyFont="1" applyBorder="1" applyAlignment="1" applyProtection="1">
      <alignment horizontal="center" vertical="center"/>
      <protection locked="0"/>
    </xf>
    <xf numFmtId="0" fontId="28" fillId="0" borderId="136" xfId="2" applyFont="1" applyBorder="1" applyAlignment="1" applyProtection="1">
      <alignment horizontal="center" vertical="center"/>
      <protection locked="0"/>
    </xf>
    <xf numFmtId="0" fontId="1" fillId="0" borderId="102" xfId="2" applyFont="1" applyBorder="1" applyAlignment="1" applyProtection="1">
      <alignment horizontal="center" vertical="center"/>
    </xf>
    <xf numFmtId="0" fontId="1" fillId="0" borderId="75" xfId="2" applyFont="1" applyBorder="1" applyAlignment="1" applyProtection="1">
      <alignment horizontal="center" vertical="center"/>
    </xf>
    <xf numFmtId="0" fontId="1" fillId="0" borderId="103" xfId="2" applyFont="1" applyBorder="1" applyAlignment="1" applyProtection="1">
      <alignment horizontal="center" vertical="center"/>
    </xf>
    <xf numFmtId="0" fontId="1" fillId="0" borderId="128" xfId="2" applyFont="1" applyBorder="1" applyAlignment="1" applyProtection="1">
      <alignment horizontal="center" vertical="center"/>
    </xf>
    <xf numFmtId="0" fontId="8" fillId="0" borderId="137" xfId="2" applyFont="1" applyBorder="1" applyAlignment="1" applyProtection="1">
      <alignment horizontal="center"/>
      <protection locked="0"/>
    </xf>
    <xf numFmtId="0" fontId="8" fillId="0" borderId="54" xfId="2" applyFont="1" applyBorder="1" applyAlignment="1" applyProtection="1">
      <alignment horizontal="center"/>
      <protection locked="0"/>
    </xf>
    <xf numFmtId="0" fontId="8" fillId="0" borderId="86" xfId="2" applyFont="1" applyBorder="1" applyAlignment="1" applyProtection="1">
      <alignment horizontal="center"/>
      <protection locked="0"/>
    </xf>
    <xf numFmtId="20" fontId="8" fillId="0" borderId="137" xfId="2" applyNumberFormat="1" applyFont="1" applyBorder="1" applyAlignment="1" applyProtection="1">
      <alignment horizontal="center"/>
      <protection locked="0"/>
    </xf>
    <xf numFmtId="0" fontId="1" fillId="0" borderId="54" xfId="2" applyFont="1" applyBorder="1" applyAlignment="1" applyProtection="1">
      <alignment horizontal="right" vertical="center"/>
    </xf>
    <xf numFmtId="0" fontId="1" fillId="0" borderId="123" xfId="2" applyFont="1" applyBorder="1" applyAlignment="1" applyProtection="1">
      <alignment horizontal="right" vertical="center"/>
    </xf>
    <xf numFmtId="0" fontId="1" fillId="0" borderId="129" xfId="2" applyFont="1" applyBorder="1" applyAlignment="1" applyProtection="1">
      <alignment horizontal="center" vertical="center"/>
    </xf>
    <xf numFmtId="0" fontId="1" fillId="0" borderId="96" xfId="2" applyFont="1" applyBorder="1" applyAlignment="1" applyProtection="1">
      <alignment horizontal="center" vertical="center"/>
    </xf>
    <xf numFmtId="0" fontId="1" fillId="0" borderId="30" xfId="2" applyFont="1" applyBorder="1" applyAlignment="1" applyProtection="1">
      <alignment horizontal="center" vertical="center"/>
    </xf>
    <xf numFmtId="0" fontId="8" fillId="0" borderId="30" xfId="2" applyFont="1" applyBorder="1" applyAlignment="1" applyProtection="1">
      <alignment horizontal="center"/>
      <protection locked="0"/>
    </xf>
    <xf numFmtId="0" fontId="1" fillId="0" borderId="125" xfId="2" applyFont="1" applyBorder="1" applyAlignment="1" applyProtection="1">
      <alignment horizontal="center" vertical="center"/>
      <protection locked="0"/>
    </xf>
    <xf numFmtId="0" fontId="1" fillId="0" borderId="92" xfId="2" applyFont="1" applyBorder="1" applyAlignment="1" applyProtection="1">
      <alignment horizontal="center" vertical="center"/>
      <protection locked="0"/>
    </xf>
    <xf numFmtId="0" fontId="31" fillId="8" borderId="125" xfId="2" applyFont="1" applyFill="1" applyBorder="1" applyAlignment="1" applyProtection="1">
      <alignment horizontal="center" vertical="center"/>
    </xf>
    <xf numFmtId="0" fontId="31" fillId="8" borderId="92" xfId="2" applyFont="1" applyFill="1" applyBorder="1" applyAlignment="1" applyProtection="1">
      <alignment horizontal="center" vertical="center"/>
    </xf>
    <xf numFmtId="0" fontId="31" fillId="8" borderId="35" xfId="2" applyFont="1" applyFill="1" applyBorder="1" applyAlignment="1" applyProtection="1">
      <alignment horizontal="center" vertical="center"/>
    </xf>
    <xf numFmtId="0" fontId="31" fillId="8" borderId="126" xfId="2" applyFont="1" applyFill="1" applyBorder="1" applyAlignment="1" applyProtection="1">
      <alignment horizontal="center" vertical="center"/>
    </xf>
    <xf numFmtId="0" fontId="32" fillId="0" borderId="127" xfId="2" applyFont="1" applyBorder="1" applyAlignment="1" applyProtection="1">
      <alignment horizontal="center" textRotation="90"/>
    </xf>
    <xf numFmtId="0" fontId="32" fillId="0" borderId="90" xfId="2" applyFont="1" applyBorder="1" applyAlignment="1" applyProtection="1">
      <alignment horizontal="center" textRotation="90"/>
    </xf>
    <xf numFmtId="0" fontId="1" fillId="8" borderId="9" xfId="2" applyFont="1" applyFill="1" applyBorder="1" applyAlignment="1" applyProtection="1">
      <alignment horizontal="center" vertical="center" textRotation="90"/>
      <protection locked="0"/>
    </xf>
    <xf numFmtId="0" fontId="1" fillId="8" borderId="17" xfId="2" applyFont="1" applyFill="1" applyBorder="1" applyAlignment="1" applyProtection="1">
      <alignment horizontal="center" vertical="center" textRotation="90"/>
      <protection locked="0"/>
    </xf>
    <xf numFmtId="0" fontId="4" fillId="0" borderId="124" xfId="2" applyBorder="1" applyAlignment="1" applyProtection="1">
      <alignment horizontal="left"/>
      <protection locked="0"/>
    </xf>
    <xf numFmtId="0" fontId="4" fillId="0" borderId="56" xfId="2" applyBorder="1" applyAlignment="1" applyProtection="1">
      <alignment horizontal="left"/>
      <protection locked="0"/>
    </xf>
    <xf numFmtId="0" fontId="4" fillId="0" borderId="58" xfId="2" applyBorder="1" applyAlignment="1" applyProtection="1">
      <alignment horizontal="left"/>
      <protection locked="0"/>
    </xf>
    <xf numFmtId="0" fontId="4" fillId="0" borderId="44" xfId="2" applyBorder="1" applyAlignment="1" applyProtection="1">
      <alignment horizontal="left"/>
      <protection locked="0"/>
    </xf>
    <xf numFmtId="0" fontId="4" fillId="0" borderId="45" xfId="2" applyBorder="1" applyAlignment="1" applyProtection="1">
      <alignment horizontal="left"/>
      <protection locked="0"/>
    </xf>
    <xf numFmtId="0" fontId="4" fillId="0" borderId="121" xfId="2" applyBorder="1" applyAlignment="1" applyProtection="1">
      <alignment horizontal="left"/>
      <protection locked="0"/>
    </xf>
    <xf numFmtId="0" fontId="4" fillId="0" borderId="53" xfId="2" applyBorder="1" applyAlignment="1" applyProtection="1">
      <alignment horizontal="left"/>
      <protection locked="0"/>
    </xf>
    <xf numFmtId="0" fontId="4" fillId="0" borderId="54" xfId="2" applyBorder="1" applyAlignment="1" applyProtection="1">
      <alignment horizontal="left"/>
      <protection locked="0"/>
    </xf>
    <xf numFmtId="0" fontId="4" fillId="0" borderId="123" xfId="2" applyBorder="1" applyAlignment="1" applyProtection="1">
      <alignment horizontal="left"/>
      <protection locked="0"/>
    </xf>
    <xf numFmtId="0" fontId="4" fillId="0" borderId="48" xfId="2" applyBorder="1" applyAlignment="1" applyProtection="1">
      <alignment horizontal="left"/>
      <protection locked="0"/>
    </xf>
    <xf numFmtId="0" fontId="4" fillId="0" borderId="49" xfId="2" applyBorder="1" applyAlignment="1" applyProtection="1">
      <alignment horizontal="left"/>
      <protection locked="0"/>
    </xf>
    <xf numFmtId="0" fontId="4" fillId="0" borderId="52" xfId="2" applyBorder="1" applyAlignment="1" applyProtection="1">
      <alignment horizontal="left"/>
      <protection locked="0"/>
    </xf>
    <xf numFmtId="0" fontId="2" fillId="0" borderId="122" xfId="2" applyFont="1" applyBorder="1" applyAlignment="1" applyProtection="1">
      <alignment horizontal="left"/>
    </xf>
    <xf numFmtId="0" fontId="2" fillId="0" borderId="54" xfId="2" applyFont="1" applyBorder="1" applyAlignment="1" applyProtection="1">
      <alignment horizontal="left"/>
    </xf>
    <xf numFmtId="0" fontId="2" fillId="0" borderId="123" xfId="2" applyFont="1" applyBorder="1" applyAlignment="1" applyProtection="1">
      <alignment horizontal="left"/>
    </xf>
    <xf numFmtId="0" fontId="2" fillId="0" borderId="100" xfId="2" applyNumberFormat="1" applyFont="1" applyBorder="1" applyAlignment="1" applyProtection="1">
      <alignment horizontal="center"/>
    </xf>
    <xf numFmtId="0" fontId="2" fillId="0" borderId="56" xfId="2" applyNumberFormat="1" applyFont="1" applyBorder="1" applyAlignment="1" applyProtection="1">
      <alignment horizontal="center"/>
    </xf>
    <xf numFmtId="0" fontId="11" fillId="0" borderId="118" xfId="2" applyFont="1" applyBorder="1" applyAlignment="1" applyProtection="1">
      <alignment horizontal="left"/>
    </xf>
    <xf numFmtId="0" fontId="11" fillId="0" borderId="35" xfId="2" applyFont="1" applyBorder="1" applyAlignment="1" applyProtection="1">
      <alignment horizontal="left"/>
    </xf>
    <xf numFmtId="0" fontId="11" fillId="0" borderId="36" xfId="2" applyFont="1" applyBorder="1" applyAlignment="1" applyProtection="1">
      <alignment horizontal="left"/>
    </xf>
    <xf numFmtId="0" fontId="5" fillId="0" borderId="38" xfId="2" applyFont="1" applyBorder="1" applyAlignment="1" applyProtection="1">
      <alignment horizontal="center"/>
    </xf>
    <xf numFmtId="0" fontId="5" fillId="0" borderId="39" xfId="2" applyFont="1" applyBorder="1" applyAlignment="1" applyProtection="1">
      <alignment horizontal="center"/>
    </xf>
    <xf numFmtId="0" fontId="5" fillId="0" borderId="40" xfId="2" applyFont="1" applyBorder="1" applyAlignment="1" applyProtection="1">
      <alignment horizontal="center"/>
    </xf>
    <xf numFmtId="0" fontId="2" fillId="0" borderId="80" xfId="2" applyFont="1" applyBorder="1" applyAlignment="1" applyProtection="1">
      <alignment horizontal="left"/>
    </xf>
    <xf numFmtId="0" fontId="2" fillId="0" borderId="119" xfId="2" applyFont="1" applyBorder="1" applyAlignment="1" applyProtection="1">
      <alignment horizontal="left"/>
    </xf>
    <xf numFmtId="177" fontId="2" fillId="0" borderId="51" xfId="2" applyNumberFormat="1" applyFont="1" applyBorder="1" applyAlignment="1" applyProtection="1">
      <alignment horizontal="center"/>
    </xf>
    <xf numFmtId="177" fontId="2" fillId="0" borderId="49" xfId="2" applyNumberFormat="1" applyFont="1" applyBorder="1" applyAlignment="1" applyProtection="1">
      <alignment horizontal="center"/>
    </xf>
    <xf numFmtId="20" fontId="2" fillId="0" borderId="49" xfId="2" applyNumberFormat="1" applyFont="1" applyBorder="1" applyAlignment="1" applyProtection="1">
      <alignment horizontal="center"/>
      <protection locked="0"/>
    </xf>
    <xf numFmtId="20" fontId="2" fillId="0" borderId="52" xfId="2" applyNumberFormat="1" applyFont="1" applyBorder="1" applyAlignment="1" applyProtection="1">
      <alignment horizontal="center"/>
      <protection locked="0"/>
    </xf>
    <xf numFmtId="0" fontId="2" fillId="0" borderId="51" xfId="2" applyNumberFormat="1" applyFont="1" applyBorder="1" applyAlignment="1" applyProtection="1">
      <alignment horizontal="center"/>
    </xf>
    <xf numFmtId="0" fontId="2" fillId="0" borderId="49" xfId="2" applyNumberFormat="1" applyFont="1" applyBorder="1" applyAlignment="1" applyProtection="1">
      <alignment horizontal="center"/>
    </xf>
    <xf numFmtId="0" fontId="4" fillId="0" borderId="0" xfId="2" applyFont="1" applyAlignment="1" applyProtection="1">
      <alignment vertical="center" textRotation="90"/>
    </xf>
    <xf numFmtId="0" fontId="4" fillId="0" borderId="0" xfId="2" applyFont="1" applyBorder="1" applyAlignment="1" applyProtection="1">
      <alignment vertical="center" textRotation="90"/>
    </xf>
    <xf numFmtId="0" fontId="8" fillId="0" borderId="41" xfId="2" applyFont="1" applyBorder="1" applyAlignment="1" applyProtection="1">
      <alignment horizontal="left" vertical="center"/>
    </xf>
    <xf numFmtId="0" fontId="8" fillId="0" borderId="42" xfId="2" applyFont="1" applyBorder="1" applyAlignment="1" applyProtection="1">
      <alignment horizontal="left" vertical="center"/>
    </xf>
    <xf numFmtId="0" fontId="4" fillId="0" borderId="42" xfId="2" applyBorder="1" applyAlignment="1"/>
    <xf numFmtId="0" fontId="4" fillId="0" borderId="43" xfId="2" applyBorder="1" applyAlignment="1"/>
    <xf numFmtId="0" fontId="2" fillId="0" borderId="85" xfId="2" applyFont="1" applyBorder="1" applyAlignment="1" applyProtection="1">
      <alignment horizontal="left"/>
    </xf>
    <xf numFmtId="0" fontId="2" fillId="0" borderId="120" xfId="2" applyFont="1" applyBorder="1" applyAlignment="1" applyProtection="1">
      <alignment horizontal="left"/>
    </xf>
    <xf numFmtId="0" fontId="2" fillId="0" borderId="45" xfId="2" applyFont="1" applyBorder="1" applyAlignment="1" applyProtection="1">
      <alignment horizontal="left"/>
    </xf>
    <xf numFmtId="0" fontId="2" fillId="0" borderId="121" xfId="2" applyFont="1" applyBorder="1" applyAlignment="1" applyProtection="1">
      <alignment horizontal="left"/>
    </xf>
    <xf numFmtId="14" fontId="2" fillId="0" borderId="21" xfId="2" applyNumberFormat="1" applyFont="1" applyBorder="1" applyAlignment="1" applyProtection="1">
      <alignment horizontal="center"/>
    </xf>
    <xf numFmtId="14" fontId="2" fillId="0" borderId="11" xfId="2" applyNumberFormat="1" applyFont="1" applyBorder="1" applyAlignment="1" applyProtection="1">
      <alignment horizontal="center"/>
    </xf>
    <xf numFmtId="0" fontId="5" fillId="0" borderId="118" xfId="2" applyFont="1" applyBorder="1" applyAlignment="1" applyProtection="1">
      <alignment horizontal="center" vertical="center"/>
    </xf>
    <xf numFmtId="0" fontId="5" fillId="0" borderId="35" xfId="2" applyFont="1" applyBorder="1" applyAlignment="1" applyProtection="1">
      <alignment horizontal="center" vertical="center"/>
    </xf>
    <xf numFmtId="0" fontId="5" fillId="0" borderId="36" xfId="2" applyFont="1" applyBorder="1" applyAlignment="1" applyProtection="1">
      <alignment horizontal="center" vertical="center"/>
    </xf>
    <xf numFmtId="0" fontId="2" fillId="0" borderId="38" xfId="2" applyFont="1" applyBorder="1" applyAlignment="1" applyProtection="1">
      <alignment horizontal="center" vertical="center"/>
    </xf>
    <xf numFmtId="0" fontId="2" fillId="0" borderId="39" xfId="2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</xf>
    <xf numFmtId="0" fontId="8" fillId="0" borderId="41" xfId="2" applyFont="1" applyBorder="1" applyAlignment="1" applyProtection="1">
      <alignment horizontal="center" vertical="center"/>
    </xf>
    <xf numFmtId="0" fontId="8" fillId="0" borderId="42" xfId="2" applyFont="1" applyBorder="1" applyAlignment="1" applyProtection="1">
      <alignment horizontal="center" vertical="center"/>
    </xf>
    <xf numFmtId="0" fontId="8" fillId="0" borderId="43" xfId="2" applyFont="1" applyBorder="1" applyAlignment="1" applyProtection="1">
      <alignment horizontal="center" vertical="center"/>
    </xf>
  </cellXfs>
  <cellStyles count="3">
    <cellStyle name="Euro" xfId="1"/>
    <cellStyle name="Standard" xfId="0" builtinId="0"/>
    <cellStyle name="Standard 2" xfId="2"/>
  </cellStyles>
  <dxfs count="234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15</xdr:col>
      <xdr:colOff>552450</xdr:colOff>
      <xdr:row>1</xdr:row>
      <xdr:rowOff>76200</xdr:rowOff>
    </xdr:to>
    <xdr:pic>
      <xdr:nvPicPr>
        <xdr:cNvPr id="232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333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228600</xdr:colOff>
      <xdr:row>1</xdr:row>
      <xdr:rowOff>28575</xdr:rowOff>
    </xdr:to>
    <xdr:pic>
      <xdr:nvPicPr>
        <xdr:cNvPr id="2322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38100</xdr:rowOff>
    </xdr:from>
    <xdr:to>
      <xdr:col>33</xdr:col>
      <xdr:colOff>190500</xdr:colOff>
      <xdr:row>2</xdr:row>
      <xdr:rowOff>219075</xdr:rowOff>
    </xdr:to>
    <xdr:pic>
      <xdr:nvPicPr>
        <xdr:cNvPr id="220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38100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0</xdr:row>
      <xdr:rowOff>57150</xdr:rowOff>
    </xdr:from>
    <xdr:to>
      <xdr:col>5</xdr:col>
      <xdr:colOff>438150</xdr:colOff>
      <xdr:row>2</xdr:row>
      <xdr:rowOff>123825</xdr:rowOff>
    </xdr:to>
    <xdr:pic>
      <xdr:nvPicPr>
        <xdr:cNvPr id="2203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962150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71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628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629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630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631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6632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6633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6634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6635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33</xdr:col>
      <xdr:colOff>123825</xdr:colOff>
      <xdr:row>4</xdr:row>
      <xdr:rowOff>9525</xdr:rowOff>
    </xdr:to>
    <xdr:pic>
      <xdr:nvPicPr>
        <xdr:cNvPr id="46636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847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ustball-liga.de/sites/faustball-liga.de/myzms/content/e7551/e7749/e26891/e26892/e26901/Spielplan-Feld_5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10">
          <cell r="C10" t="str">
            <v>A1</v>
          </cell>
          <cell r="F10" t="str">
            <v>A2</v>
          </cell>
          <cell r="I10" t="str">
            <v>A3</v>
          </cell>
          <cell r="L10" t="str">
            <v>A4</v>
          </cell>
          <cell r="O10" t="str">
            <v>A5</v>
          </cell>
          <cell r="R10" t="str">
            <v>B1</v>
          </cell>
          <cell r="U10" t="str">
            <v>TSV Musterstadt</v>
          </cell>
          <cell r="X10" t="str">
            <v>B3</v>
          </cell>
          <cell r="AA10" t="str">
            <v>B4</v>
          </cell>
          <cell r="AD10" t="str">
            <v>B5</v>
          </cell>
        </row>
        <row r="11">
          <cell r="C11" t="str">
            <v>Nr</v>
          </cell>
          <cell r="D11" t="str">
            <v>Mf</v>
          </cell>
          <cell r="E11" t="str">
            <v>Name</v>
          </cell>
          <cell r="F11" t="str">
            <v>Nr</v>
          </cell>
          <cell r="G11" t="str">
            <v>Mf</v>
          </cell>
          <cell r="H11" t="str">
            <v>Name</v>
          </cell>
          <cell r="I11" t="str">
            <v>Nr</v>
          </cell>
          <cell r="J11" t="str">
            <v>Mf</v>
          </cell>
          <cell r="K11" t="str">
            <v>Name</v>
          </cell>
          <cell r="L11" t="str">
            <v>Nr</v>
          </cell>
          <cell r="M11" t="str">
            <v>Mf</v>
          </cell>
          <cell r="N11" t="str">
            <v>Name</v>
          </cell>
          <cell r="O11" t="str">
            <v>Nr</v>
          </cell>
          <cell r="P11" t="str">
            <v>Mf</v>
          </cell>
          <cell r="Q11" t="str">
            <v>Name</v>
          </cell>
        </row>
        <row r="12">
          <cell r="C12">
            <v>10</v>
          </cell>
          <cell r="F12">
            <v>22</v>
          </cell>
          <cell r="I12">
            <v>34</v>
          </cell>
          <cell r="L12">
            <v>46</v>
          </cell>
          <cell r="O12">
            <v>58</v>
          </cell>
          <cell r="R12">
            <v>70</v>
          </cell>
          <cell r="U12">
            <v>82</v>
          </cell>
          <cell r="X12">
            <v>94</v>
          </cell>
          <cell r="AA12">
            <v>106</v>
          </cell>
          <cell r="AD12">
            <v>118</v>
          </cell>
        </row>
        <row r="13">
          <cell r="B13">
            <v>10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BX29"/>
  <sheetViews>
    <sheetView tabSelected="1" topLeftCell="A12" zoomScale="85" zoomScaleNormal="85" workbookViewId="0">
      <selection activeCell="A14" sqref="A14"/>
    </sheetView>
  </sheetViews>
  <sheetFormatPr baseColWidth="10" defaultRowHeight="12.75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3" hidden="1" customWidth="1"/>
    <col min="8" max="8" width="5.42578125" style="13" customWidth="1"/>
    <col min="9" max="9" width="1" style="13" customWidth="1"/>
    <col min="10" max="10" width="5.42578125" style="13" customWidth="1"/>
    <col min="11" max="11" width="0.42578125" style="13" hidden="1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hidden="1" customWidth="1"/>
    <col min="16" max="16" width="9" style="1" customWidth="1"/>
    <col min="17" max="17" width="7.140625" style="10" customWidth="1"/>
    <col min="18" max="18" width="7.28515625" style="10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3" bestFit="1" customWidth="1"/>
    <col min="26" max="26" width="4.7109375" style="13" customWidth="1"/>
    <col min="27" max="27" width="1.28515625" style="13" customWidth="1"/>
    <col min="28" max="28" width="4.85546875" style="13" customWidth="1"/>
    <col min="29" max="29" width="7.85546875" style="13" bestFit="1" customWidth="1"/>
    <col min="30" max="30" width="8.7109375" style="42" bestFit="1" customWidth="1"/>
    <col min="31" max="31" width="6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bestFit="1" customWidth="1"/>
    <col min="36" max="36" width="10.7109375" style="10" customWidth="1"/>
    <col min="37" max="37" width="10.7109375" style="49" customWidth="1"/>
    <col min="38" max="38" width="11.42578125" style="49" customWidth="1"/>
    <col min="39" max="39" width="10.5703125" style="49" customWidth="1"/>
    <col min="40" max="40" width="11.140625" style="49" customWidth="1"/>
    <col min="41" max="41" width="10.5703125" style="49" customWidth="1"/>
    <col min="42" max="47" width="10.7109375" style="49" customWidth="1"/>
    <col min="48" max="48" width="11.28515625" style="49" customWidth="1"/>
    <col min="49" max="50" width="10.7109375" style="49" customWidth="1"/>
    <col min="51" max="51" width="10.85546875" style="49" customWidth="1"/>
    <col min="52" max="53" width="2" style="49" customWidth="1"/>
    <col min="54" max="54" width="11" style="49" customWidth="1"/>
    <col min="55" max="55" width="3.140625" style="49" customWidth="1"/>
    <col min="56" max="57" width="2" style="49" customWidth="1"/>
    <col min="58" max="58" width="7.7109375" style="49" customWidth="1"/>
    <col min="59" max="59" width="3.28515625" style="49" customWidth="1"/>
    <col min="60" max="61" width="2" style="49" customWidth="1"/>
    <col min="62" max="62" width="7.7109375" style="49" customWidth="1"/>
    <col min="63" max="63" width="2.28515625" style="49" customWidth="1"/>
    <col min="64" max="65" width="2" style="49" customWidth="1"/>
    <col min="66" max="66" width="7.7109375" style="49" customWidth="1"/>
    <col min="67" max="67" width="2.28515625" style="49" customWidth="1"/>
    <col min="68" max="68" width="2" style="49" customWidth="1"/>
    <col min="69" max="69" width="2" style="49" bestFit="1" customWidth="1"/>
    <col min="70" max="70" width="7.28515625" style="49" bestFit="1" customWidth="1"/>
    <col min="71" max="71" width="2.5703125" style="49" customWidth="1"/>
    <col min="72" max="75" width="7.7109375" style="49" customWidth="1"/>
    <col min="76" max="76" width="7.28515625" style="49" bestFit="1" customWidth="1"/>
    <col min="77" max="16384" width="11.42578125" style="10"/>
  </cols>
  <sheetData>
    <row r="1" spans="1:76" s="4" customFormat="1" ht="67.5" customHeight="1">
      <c r="A1" s="380" t="s">
        <v>22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71"/>
      <c r="S1" s="380" t="s">
        <v>23</v>
      </c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131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</row>
    <row r="2" spans="1:76" ht="27">
      <c r="A2" s="383">
        <f>U4</f>
        <v>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72"/>
      <c r="AI2" s="389"/>
      <c r="AJ2" s="390"/>
      <c r="AK2" s="132"/>
    </row>
    <row r="3" spans="1:76" ht="17.25" customHeight="1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72"/>
      <c r="AE3" s="1" t="s">
        <v>82</v>
      </c>
      <c r="AI3" s="23"/>
      <c r="AJ3" s="24"/>
      <c r="AK3" s="132"/>
    </row>
    <row r="4" spans="1:76" ht="27">
      <c r="A4" s="383">
        <f>U6</f>
        <v>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72"/>
      <c r="T4" s="32" t="s">
        <v>19</v>
      </c>
      <c r="U4" s="392"/>
      <c r="V4" s="393"/>
      <c r="W4" s="393"/>
      <c r="X4" s="393"/>
      <c r="Y4" s="393"/>
      <c r="Z4" s="393"/>
      <c r="AE4" s="146">
        <v>9</v>
      </c>
      <c r="AI4" s="23"/>
      <c r="AJ4" s="24"/>
      <c r="AK4" s="132"/>
    </row>
    <row r="5" spans="1:76" ht="18" customHeight="1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72"/>
      <c r="T5" s="32" t="s">
        <v>35</v>
      </c>
      <c r="U5" s="392"/>
      <c r="V5" s="393"/>
      <c r="W5" s="393"/>
      <c r="X5" s="393"/>
      <c r="Y5" s="393"/>
      <c r="Z5" s="393"/>
      <c r="AI5" s="23"/>
      <c r="AJ5" s="24"/>
      <c r="AK5" s="132"/>
    </row>
    <row r="6" spans="1:76">
      <c r="J6" s="58" t="s">
        <v>15</v>
      </c>
      <c r="K6" s="385">
        <f ca="1">TODAY()</f>
        <v>44464</v>
      </c>
      <c r="L6" s="386"/>
      <c r="M6" s="386"/>
      <c r="N6" s="386"/>
      <c r="O6" s="387"/>
      <c r="P6" s="387"/>
      <c r="Q6" s="24"/>
      <c r="R6" s="24"/>
      <c r="T6" s="32" t="s">
        <v>20</v>
      </c>
      <c r="U6" s="392"/>
      <c r="V6" s="393"/>
      <c r="W6" s="393"/>
      <c r="X6" s="393"/>
      <c r="Y6" s="393"/>
      <c r="Z6" s="393"/>
      <c r="AI6" s="23"/>
      <c r="AJ6" s="24"/>
      <c r="AK6" s="132"/>
    </row>
    <row r="7" spans="1:76">
      <c r="P7" s="23"/>
      <c r="Q7" s="24"/>
      <c r="R7" s="24"/>
      <c r="T7" s="32" t="s">
        <v>67</v>
      </c>
      <c r="U7" s="69"/>
      <c r="V7" s="70"/>
      <c r="W7" s="70"/>
      <c r="X7" s="70"/>
      <c r="Y7" s="70"/>
      <c r="Z7" s="70"/>
      <c r="AI7" s="23"/>
      <c r="AJ7" s="24"/>
      <c r="AK7" s="132"/>
    </row>
    <row r="8" spans="1:76">
      <c r="P8" s="23"/>
      <c r="Q8" s="24"/>
      <c r="R8" s="24"/>
      <c r="T8" s="32" t="s">
        <v>36</v>
      </c>
      <c r="U8" s="392"/>
      <c r="V8" s="393"/>
      <c r="W8" s="393"/>
      <c r="X8" s="393"/>
      <c r="Y8" s="393"/>
      <c r="Z8" s="393"/>
      <c r="AI8" s="23"/>
      <c r="AJ8" s="24"/>
      <c r="AK8" s="132"/>
    </row>
    <row r="9" spans="1:76" hidden="1">
      <c r="T9" s="32" t="s">
        <v>34</v>
      </c>
      <c r="U9" s="52">
        <v>0</v>
      </c>
      <c r="AI9" s="23"/>
      <c r="AJ9" s="24"/>
      <c r="AK9" s="132"/>
    </row>
    <row r="10" spans="1:76" hidden="1">
      <c r="K10" s="45"/>
      <c r="O10" s="44"/>
      <c r="P10" s="23"/>
      <c r="Q10" s="24"/>
      <c r="R10" s="24"/>
      <c r="T10" s="32" t="s">
        <v>17</v>
      </c>
      <c r="U10" s="53">
        <v>0</v>
      </c>
      <c r="AI10" s="23"/>
      <c r="AJ10" s="24"/>
      <c r="AK10" s="132"/>
    </row>
    <row r="11" spans="1:76" hidden="1">
      <c r="K11" s="45"/>
      <c r="O11" s="44"/>
      <c r="P11" s="23"/>
      <c r="Q11" s="24"/>
      <c r="R11" s="24"/>
      <c r="T11" s="32" t="s">
        <v>18</v>
      </c>
      <c r="U11" s="33">
        <f>SUM(U9+U10)</f>
        <v>0</v>
      </c>
      <c r="AI11" s="23"/>
      <c r="AJ11" s="24"/>
      <c r="AK11" s="132"/>
    </row>
    <row r="12" spans="1:76">
      <c r="K12" s="45"/>
      <c r="O12" s="44"/>
      <c r="P12" s="23"/>
      <c r="Q12" s="24"/>
      <c r="R12" s="24"/>
      <c r="AI12" s="23"/>
      <c r="AJ12" s="24"/>
      <c r="AK12" s="132"/>
    </row>
    <row r="13" spans="1:76">
      <c r="K13" s="45"/>
      <c r="O13" s="44"/>
      <c r="P13" s="23"/>
      <c r="Q13" s="24"/>
      <c r="R13" s="24"/>
      <c r="AI13" s="23"/>
      <c r="AJ13" s="24"/>
      <c r="AK13" s="132"/>
    </row>
    <row r="14" spans="1:76">
      <c r="K14" s="45"/>
      <c r="O14" s="44"/>
      <c r="P14" s="23"/>
      <c r="Q14" s="24"/>
      <c r="R14" s="24"/>
      <c r="AI14" s="23"/>
      <c r="AJ14" s="24"/>
      <c r="AK14" s="132"/>
    </row>
    <row r="15" spans="1:76">
      <c r="K15" s="45"/>
      <c r="O15" s="44"/>
      <c r="P15" s="23"/>
      <c r="Q15" s="24"/>
      <c r="R15" s="24"/>
      <c r="AI15" s="23"/>
      <c r="AJ15" s="24"/>
      <c r="AK15" s="132"/>
    </row>
    <row r="16" spans="1:76" ht="33.75">
      <c r="A16" s="145" t="s">
        <v>78</v>
      </c>
      <c r="K16" s="45"/>
      <c r="O16" s="44"/>
      <c r="P16" s="23"/>
      <c r="Q16" s="24"/>
      <c r="R16" s="24"/>
      <c r="AI16" s="23"/>
      <c r="AJ16" s="24"/>
      <c r="AK16" s="132"/>
    </row>
    <row r="17" spans="1:76">
      <c r="K17" s="45"/>
      <c r="O17" s="44"/>
      <c r="P17" s="23"/>
      <c r="Q17" s="24"/>
      <c r="R17" s="24"/>
      <c r="AI17" s="23"/>
      <c r="AJ17" s="24"/>
      <c r="AK17" s="132"/>
    </row>
    <row r="18" spans="1:76" ht="18">
      <c r="B18" s="31" t="s">
        <v>77</v>
      </c>
      <c r="K18" s="45"/>
      <c r="O18" s="44"/>
      <c r="P18" s="18"/>
      <c r="T18" s="31" t="s">
        <v>77</v>
      </c>
      <c r="U18" s="59"/>
      <c r="V18" s="59"/>
      <c r="W18" s="59"/>
      <c r="X18" s="59"/>
      <c r="Y18" s="60"/>
      <c r="Z18" s="60"/>
      <c r="AA18" s="60"/>
      <c r="AB18" s="60"/>
      <c r="AC18" s="60"/>
      <c r="AD18" s="61"/>
      <c r="AE18" s="59"/>
      <c r="AF18" s="59"/>
      <c r="AG18" s="59"/>
      <c r="AH18" s="59"/>
      <c r="AI18" s="59"/>
      <c r="AJ18" s="62"/>
    </row>
    <row r="19" spans="1:76" ht="21.6" customHeight="1">
      <c r="A19" s="127" t="s">
        <v>9</v>
      </c>
      <c r="B19" s="127" t="s">
        <v>11</v>
      </c>
      <c r="C19" s="127" t="s">
        <v>14</v>
      </c>
      <c r="D19" s="382" t="s">
        <v>2</v>
      </c>
      <c r="E19" s="382"/>
      <c r="F19" s="382"/>
      <c r="G19" s="128"/>
      <c r="H19" s="382" t="s">
        <v>32</v>
      </c>
      <c r="I19" s="382"/>
      <c r="J19" s="382"/>
      <c r="K19" s="129"/>
      <c r="L19" s="382" t="s">
        <v>1</v>
      </c>
      <c r="M19" s="382"/>
      <c r="N19" s="382"/>
      <c r="O19" s="46"/>
      <c r="P19" s="19"/>
      <c r="R19" s="388" t="s">
        <v>73</v>
      </c>
      <c r="S19" s="63" t="s">
        <v>9</v>
      </c>
      <c r="T19" s="32" t="s">
        <v>21</v>
      </c>
      <c r="U19" s="63" t="s">
        <v>14</v>
      </c>
      <c r="V19" s="391" t="s">
        <v>2</v>
      </c>
      <c r="W19" s="391"/>
      <c r="X19" s="391"/>
      <c r="Y19" s="63" t="s">
        <v>12</v>
      </c>
      <c r="Z19" s="391" t="s">
        <v>32</v>
      </c>
      <c r="AA19" s="391"/>
      <c r="AB19" s="391"/>
      <c r="AC19" s="63" t="s">
        <v>33</v>
      </c>
      <c r="AD19" s="64" t="s">
        <v>38</v>
      </c>
      <c r="AE19" s="391" t="s">
        <v>1</v>
      </c>
      <c r="AF19" s="391"/>
      <c r="AG19" s="391"/>
      <c r="AH19" s="63" t="s">
        <v>10</v>
      </c>
      <c r="AI19" s="63" t="s">
        <v>74</v>
      </c>
      <c r="AJ19" s="62"/>
      <c r="AL19" s="50" t="s">
        <v>39</v>
      </c>
      <c r="AM19" s="49">
        <v>1</v>
      </c>
      <c r="AN19" s="49">
        <v>2</v>
      </c>
      <c r="AO19" s="49">
        <v>3</v>
      </c>
      <c r="AP19" s="49">
        <v>4</v>
      </c>
      <c r="AV19" s="49" t="s">
        <v>72</v>
      </c>
    </row>
    <row r="20" spans="1:76" ht="5.45" customHeight="1">
      <c r="G20" s="1"/>
      <c r="K20" s="45"/>
      <c r="O20" s="45"/>
      <c r="P20" s="18"/>
      <c r="R20" s="388"/>
      <c r="U20" s="59"/>
      <c r="V20" s="59"/>
      <c r="W20" s="59"/>
      <c r="X20" s="59"/>
      <c r="Y20" s="59"/>
      <c r="Z20" s="60"/>
      <c r="AA20" s="60"/>
      <c r="AB20" s="60"/>
      <c r="AC20" s="60"/>
      <c r="AD20" s="61"/>
      <c r="AE20" s="59"/>
      <c r="AF20" s="59"/>
      <c r="AG20" s="59"/>
      <c r="AH20" s="60"/>
      <c r="AI20" s="59"/>
      <c r="AJ20" s="62"/>
      <c r="AM20" s="51"/>
      <c r="AN20" s="51"/>
      <c r="AO20" s="51"/>
      <c r="AP20" s="51"/>
      <c r="AQ20" s="51"/>
      <c r="AR20" s="51"/>
      <c r="AS20" s="51"/>
      <c r="AT20" s="51"/>
      <c r="AU20" s="51"/>
      <c r="AW20" s="51"/>
      <c r="AX20" s="51"/>
      <c r="AY20" s="51"/>
    </row>
    <row r="21" spans="1:76">
      <c r="A21" s="12">
        <f>VLOOKUP(1,S21:AI29,1,0)</f>
        <v>1</v>
      </c>
      <c r="B21" s="11" t="str">
        <f>VLOOKUP(1,S21:AI29,2,0)</f>
        <v>Team 1</v>
      </c>
      <c r="C21" s="12">
        <f>VLOOKUP(1,S21:AI29,3,0)</f>
        <v>0</v>
      </c>
      <c r="D21" s="12">
        <f>VLOOKUP(1,S21:AI29,4,0)</f>
        <v>0</v>
      </c>
      <c r="E21" s="12" t="s">
        <v>0</v>
      </c>
      <c r="F21" s="12">
        <f>VLOOKUP(1,S21:AI29,6,0)</f>
        <v>0</v>
      </c>
      <c r="G21" s="1"/>
      <c r="H21" s="12">
        <f>VLOOKUP(1,S21:AI29,8,0)</f>
        <v>0</v>
      </c>
      <c r="I21" s="12" t="s">
        <v>0</v>
      </c>
      <c r="J21" s="12">
        <f>VLOOKUP(1,S21:AI29,10,0)</f>
        <v>0</v>
      </c>
      <c r="K21" s="46">
        <f>VLOOKUP(1,S21:AI29,11,0)</f>
        <v>0</v>
      </c>
      <c r="L21" s="12">
        <f>VLOOKUP(1,S21:AI29,13,0)</f>
        <v>0</v>
      </c>
      <c r="M21" s="12" t="s">
        <v>0</v>
      </c>
      <c r="N21" s="12">
        <f>VLOOKUP(1,S21:AI29,15,0)</f>
        <v>0</v>
      </c>
      <c r="O21" s="46">
        <f>VLOOKUP(1,S21:AI24,16,0)</f>
        <v>0</v>
      </c>
      <c r="P21" s="18"/>
      <c r="R21" s="143">
        <v>1</v>
      </c>
      <c r="S21" s="122">
        <f t="shared" ref="S21:S29" si="0">AK21</f>
        <v>1</v>
      </c>
      <c r="T21" s="43" t="s">
        <v>136</v>
      </c>
      <c r="U21" s="65">
        <f t="shared" ref="U21:U29" si="1">(V21+X21)/2</f>
        <v>0</v>
      </c>
      <c r="V21" s="65">
        <f>SUMIF(Spielplan!G$6:G$241,T21,Spielplan!X$6:X$241)+SUMIF(Spielplan!K$6:K$241,T21,Spielplan!Z$6:Z$241)</f>
        <v>0</v>
      </c>
      <c r="W21" s="65" t="s">
        <v>0</v>
      </c>
      <c r="X21" s="65">
        <f>SUMIF(Spielplan!G$6:G$241,T21,Spielplan!Z$6:Z$241)+SUMIF(Spielplan!K$6:K$241,T21,Spielplan!X$6:X$241)</f>
        <v>0</v>
      </c>
      <c r="Y21" s="65">
        <f t="shared" ref="Y21:Y29" si="2">V21-X21</f>
        <v>0</v>
      </c>
      <c r="Z21" s="65">
        <f>SUMIF(Spielplan!G$6:G$241,T21,Spielplan!AB$6:AB$241)+SUMIF(Spielplan!K$6:K$241,T21,Spielplan!AD$6:AD$241)</f>
        <v>0</v>
      </c>
      <c r="AA21" s="65" t="s">
        <v>0</v>
      </c>
      <c r="AB21" s="65">
        <f>SUMIF(Spielplan!G$6:G$241,T21,Spielplan!AD$6:AD$241)+SUMIF(Spielplan!K$6:K$241,T21,Spielplan!AB$6:AB$241)</f>
        <v>0</v>
      </c>
      <c r="AC21" s="66">
        <f t="shared" ref="AC21:AC29" si="3">Z21-AB21</f>
        <v>0</v>
      </c>
      <c r="AD21" s="130">
        <f t="shared" ref="AD21:AD29" si="4">IF(AB21=0,0,Z21/AB21)</f>
        <v>0</v>
      </c>
      <c r="AE21" s="65">
        <f>SUMIF(Spielplan!G$6:G$241,T21,Spielplan!AF$6:AF$241)+SUMIF(Spielplan!K$6:K$241,T21,Spielplan!AH$6:AH$241)</f>
        <v>0</v>
      </c>
      <c r="AF21" s="65" t="s">
        <v>0</v>
      </c>
      <c r="AG21" s="65">
        <f>SUMIF(Spielplan!G$6:G$241,T21,Spielplan!AH$6:AH$241)+SUMIF(Spielplan!K$6:K$241,T21,Spielplan!AF$6:AF$241)</f>
        <v>0</v>
      </c>
      <c r="AH21" s="66">
        <f t="shared" ref="AH21:AH29" si="5">AE21-AG21</f>
        <v>0</v>
      </c>
      <c r="AI21" s="144">
        <f t="shared" ref="AI21:AI29" si="6">AK21</f>
        <v>1</v>
      </c>
      <c r="AJ21" s="62"/>
      <c r="AK21" s="49">
        <f t="shared" ref="AK21:AK29" si="7">9-SUM(IF(AL21&gt;AL$21,1,0)+IF(AL21&gt;AL$22,1,0)+IF(AL21&gt;AL$23,1,0)+IF(AL21&gt;AL$24,1,0)+IF(AL21&gt;AL$25,1,0)+IF(AL21&gt;AL$26,1,0)+IF(AL21&gt;AL$27,1,0)+IF(AL21&gt;AL$28,1,0)+IF(AL21&gt;AL$29,1,0))</f>
        <v>1</v>
      </c>
      <c r="AL21" s="123">
        <f t="shared" ref="AL21:AL29" si="8">SUM(AM21:BA21)</f>
        <v>8.0000000000000002E-8</v>
      </c>
      <c r="AM21" s="125" t="s">
        <v>71</v>
      </c>
      <c r="AN21" s="123">
        <f>SUM(IF(V21&gt;V$22,1,0)+IF(Y21&gt;Y$22,0.1,0)+IF(AC21&gt;AC$22,0.01,0)+IF(AD21&gt;AD$22,0.001,0)+IF(AH21&gt;AH$22,0.0001,0))</f>
        <v>0</v>
      </c>
      <c r="AO21" s="123">
        <f>SUM(IF(V21&gt;V$23,1,0)+IF(Y21&gt;Y$23,0.1,0)+IF(AC21&gt;AC$23,0.01,0)+IF(AD21&gt;AD$23,0.001,0)+IF(AH21&gt;AH$23,0.0001,0))</f>
        <v>0</v>
      </c>
      <c r="AP21" s="123">
        <f>SUM(IF(V21&gt;V$24,1,0)+IF(Y21&gt;Y$24,0.1,0)+IF(AC21&gt;AC$24,0.01,0)+IF(AD21&gt;AD$24,0.001,0)+IF(AH21&gt;AH$24,0.0001,0))</f>
        <v>0</v>
      </c>
      <c r="AQ21" s="123">
        <f>SUM(IF(V21&gt;V$25,1,0)+IF(Y21&gt;Y$25,0.1,0)+IF(AC21&gt;AC$25,0.01,0)+IF(AD21&gt;AD$25,0.001,0)+IF(AH21&gt;AH$25,0.0001,0))</f>
        <v>0</v>
      </c>
      <c r="AR21" s="123">
        <f>SUM(IF(V21&gt;V$26,1,0)+IF(Y21&gt;Y$26,0.1,0)+IF(AC21&gt;AC$26,0.01,0)+IF(AD21&gt;AD$26,0.001,0)+IF(AH21&gt;AH$26,0.0001,0))</f>
        <v>0</v>
      </c>
      <c r="AS21" s="123">
        <f t="shared" ref="AS21:AS26" si="9">SUM(IF(V21&gt;V$27,1,0)+IF(Y21&gt;Y$27,0.1,0)+IF(AC21&gt;AC$27,0.01,0)+IF(AD21&gt;AD$27,0.001,0)+IF(AH21&gt;AH$27,0.0001,0))</f>
        <v>0</v>
      </c>
      <c r="AT21" s="123">
        <f t="shared" ref="AT21:AT27" si="10">SUM(IF(V21&gt;V$28,1,0)+IF(Y21&gt;Y$28,0.1,0)+IF(AC21&gt;AC$28,0.01,0)+IF(AD21&gt;AD$28,0.001,0)+IF(AH21&gt;AH$28,0.0001,0))</f>
        <v>0</v>
      </c>
      <c r="AU21" s="123">
        <f t="shared" ref="AU21:AU28" si="11">SUM(IF(V21&gt;V$29,1,0)+IF(Y21&gt;Y$29,0.1,0)+IF(AC21&gt;AC$29,0.01,0)+IF(AD21&gt;AD$29,0.001,0)+IF(AH21&gt;AH$29,0.0001,0))</f>
        <v>0</v>
      </c>
      <c r="AV21" s="124">
        <f t="shared" ref="AV21:AV29" si="12">(9-R21)*0.00000001</f>
        <v>8.0000000000000002E-8</v>
      </c>
      <c r="AW21" s="123"/>
      <c r="AX21" s="123"/>
      <c r="AY21" s="123"/>
      <c r="AZ21" s="123"/>
      <c r="BA21" s="124"/>
    </row>
    <row r="22" spans="1:76" s="22" customFormat="1">
      <c r="A22" s="12">
        <f>VLOOKUP(2,S21:AI29,1,0)</f>
        <v>2</v>
      </c>
      <c r="B22" s="11" t="str">
        <f>VLOOKUP(2,S21:AI29,2,0)</f>
        <v>Team 2</v>
      </c>
      <c r="C22" s="20">
        <f>VLOOKUP(2,S21:AI29,3,0)</f>
        <v>0</v>
      </c>
      <c r="D22" s="20">
        <f>VLOOKUP(2,S21:AI29,4,0)</f>
        <v>0</v>
      </c>
      <c r="E22" s="20" t="s">
        <v>0</v>
      </c>
      <c r="F22" s="20">
        <f>VLOOKUP(2,S21:AI29,6,0)</f>
        <v>0</v>
      </c>
      <c r="G22" s="9"/>
      <c r="H22" s="12">
        <f>VLOOKUP(2,S21:AI29,8,0)</f>
        <v>0</v>
      </c>
      <c r="I22" s="20" t="s">
        <v>0</v>
      </c>
      <c r="J22" s="12">
        <f>VLOOKUP(2,S21:AI29,10,0)</f>
        <v>0</v>
      </c>
      <c r="K22" s="46">
        <f>VLOOKUP(2,S21:AI29,11,0)</f>
        <v>0</v>
      </c>
      <c r="L22" s="20">
        <f>VLOOKUP(2,S21:AI29,13,0)</f>
        <v>0</v>
      </c>
      <c r="M22" s="20" t="s">
        <v>0</v>
      </c>
      <c r="N22" s="20">
        <f>VLOOKUP(2,S21:AI29,15,0)</f>
        <v>0</v>
      </c>
      <c r="O22" s="46">
        <f>VLOOKUP(2,S21:AI24,16,0)</f>
        <v>0</v>
      </c>
      <c r="P22" s="18"/>
      <c r="R22" s="143">
        <v>2</v>
      </c>
      <c r="S22" s="122">
        <f t="shared" si="0"/>
        <v>2</v>
      </c>
      <c r="T22" s="43" t="s">
        <v>137</v>
      </c>
      <c r="U22" s="65">
        <f t="shared" si="1"/>
        <v>0</v>
      </c>
      <c r="V22" s="65">
        <f>SUMIF(Spielplan!G$6:G$241,T22,Spielplan!X$6:X$241)+SUMIF(Spielplan!K$6:K$241,T22,Spielplan!Z$6:Z$241)</f>
        <v>0</v>
      </c>
      <c r="W22" s="67" t="s">
        <v>0</v>
      </c>
      <c r="X22" s="65">
        <f>SUMIF(Spielplan!G$6:G$241,T22,Spielplan!Z$6:Z$241)+SUMIF(Spielplan!K$6:K$241,T22,Spielplan!X$6:X$241)</f>
        <v>0</v>
      </c>
      <c r="Y22" s="65">
        <f t="shared" si="2"/>
        <v>0</v>
      </c>
      <c r="Z22" s="65">
        <f>SUMIF(Spielplan!G$6:G$241,T22,Spielplan!AB$6:AB$241)+SUMIF(Spielplan!K$6:K$241,T22,Spielplan!AD$6:AD$241)</f>
        <v>0</v>
      </c>
      <c r="AA22" s="67" t="s">
        <v>0</v>
      </c>
      <c r="AB22" s="65">
        <f>SUMIF(Spielplan!G$6:G$241,T22,Spielplan!AD$6:AD$241)+SUMIF(Spielplan!K$6:K$241,T22,Spielplan!AB$6:AB$241)</f>
        <v>0</v>
      </c>
      <c r="AC22" s="66">
        <f t="shared" si="3"/>
        <v>0</v>
      </c>
      <c r="AD22" s="130">
        <f t="shared" si="4"/>
        <v>0</v>
      </c>
      <c r="AE22" s="65">
        <f>SUMIF(Spielplan!G$6:G$241,T22,Spielplan!AF$6:AF$241)+SUMIF(Spielplan!K$6:K$241,T22,Spielplan!AH$6:AH$241)</f>
        <v>0</v>
      </c>
      <c r="AF22" s="67" t="s">
        <v>0</v>
      </c>
      <c r="AG22" s="65">
        <f>SUMIF(Spielplan!G$6:G$241,T22,Spielplan!AH$6:AH$241)+SUMIF(Spielplan!K$6:K$241,T22,Spielplan!AF$6:AF$241)</f>
        <v>0</v>
      </c>
      <c r="AH22" s="66">
        <f t="shared" si="5"/>
        <v>0</v>
      </c>
      <c r="AI22" s="144">
        <f t="shared" si="6"/>
        <v>2</v>
      </c>
      <c r="AJ22" s="68"/>
      <c r="AK22" s="49">
        <f t="shared" si="7"/>
        <v>2</v>
      </c>
      <c r="AL22" s="123">
        <f t="shared" si="8"/>
        <v>7.0000000000000005E-8</v>
      </c>
      <c r="AM22" s="123">
        <f t="shared" ref="AM22:AM29" si="13">SUM(IF(V22&gt;V$21,1,0)+IF(Y22&gt;Y$21,0.1,0)+IF(AC22&gt;AC$21,0.01,0)+IF(AD22&gt;AD$21,0.001,0)+IF(AH22&gt;AH$21,0.0001,0))</f>
        <v>0</v>
      </c>
      <c r="AN22" s="126" t="s">
        <v>71</v>
      </c>
      <c r="AO22" s="123">
        <f>SUM(IF(V22&gt;V$23,1,0)+IF(Y22&gt;Y$23,0.1,0)+IF(AC22&gt;AC$23,0.01,0)+IF(AD22&gt;AD$23,0.001,0)+IF(AH22&gt;AH$23,0.0001,0))</f>
        <v>0</v>
      </c>
      <c r="AP22" s="123">
        <f>SUM(IF(V22&gt;V$24,1,0)+IF(Y22&gt;Y$24,0.1,0)+IF(AC22&gt;AC$24,0.01,0)+IF(AD22&gt;AD$24,0.001,0)+IF(AH22&gt;AH$24,0.0001,0))</f>
        <v>0</v>
      </c>
      <c r="AQ22" s="123">
        <f>SUM(IF(V22&gt;V$25,1,0)+IF(Y22&gt;Y$25,0.1,0)+IF(AC22&gt;AC$25,0.01,0)+IF(AD22&gt;AD$25,0.001,0)+IF(AH22&gt;AH$25,0.0001,0))</f>
        <v>0</v>
      </c>
      <c r="AR22" s="123">
        <f>SUM(IF(V22&gt;V$26,1,0)+IF(Y22&gt;Y$26,0.1,0)+IF(AC22&gt;AC$26,0.01,0)+IF(AD22&gt;AD$26,0.001,0)+IF(AH22&gt;AH$26,0.0001,0))</f>
        <v>0</v>
      </c>
      <c r="AS22" s="123">
        <f t="shared" si="9"/>
        <v>0</v>
      </c>
      <c r="AT22" s="123">
        <f t="shared" si="10"/>
        <v>0</v>
      </c>
      <c r="AU22" s="123">
        <f t="shared" si="11"/>
        <v>0</v>
      </c>
      <c r="AV22" s="124">
        <f t="shared" si="12"/>
        <v>7.0000000000000005E-8</v>
      </c>
      <c r="AW22" s="123"/>
      <c r="AX22" s="123"/>
      <c r="AY22" s="123"/>
      <c r="AZ22" s="123"/>
      <c r="BA22" s="124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51"/>
    </row>
    <row r="23" spans="1:76" s="22" customFormat="1">
      <c r="A23" s="12">
        <f>VLOOKUP(3,S21:AI29,1,0)</f>
        <v>3</v>
      </c>
      <c r="B23" s="21" t="str">
        <f>VLOOKUP(3,S21:AI29,2,0)</f>
        <v>Team 3</v>
      </c>
      <c r="C23" s="20">
        <f>VLOOKUP(3,S21:AI29,3,0)</f>
        <v>0</v>
      </c>
      <c r="D23" s="20">
        <f>VLOOKUP(3,S21:AI29,4,0)</f>
        <v>0</v>
      </c>
      <c r="E23" s="20" t="s">
        <v>0</v>
      </c>
      <c r="F23" s="20">
        <f>VLOOKUP(3,S21:AI29,6,0)</f>
        <v>0</v>
      </c>
      <c r="G23" s="9"/>
      <c r="H23" s="12">
        <f>VLOOKUP(3,S21:AI29,8,0)</f>
        <v>0</v>
      </c>
      <c r="I23" s="20" t="s">
        <v>0</v>
      </c>
      <c r="J23" s="12">
        <f>VLOOKUP(3,S21:AI29,10,0)</f>
        <v>0</v>
      </c>
      <c r="K23" s="46">
        <f>VLOOKUP(3,S21:AI29,11,0)</f>
        <v>0</v>
      </c>
      <c r="L23" s="20">
        <f>VLOOKUP(3,S21:AI29,13,0)</f>
        <v>0</v>
      </c>
      <c r="M23" s="20" t="s">
        <v>0</v>
      </c>
      <c r="N23" s="20">
        <f>VLOOKUP(3,S21:AI29,15,0)</f>
        <v>0</v>
      </c>
      <c r="O23" s="46">
        <f>VLOOKUP(3,S21:AI24,16,0)</f>
        <v>0</v>
      </c>
      <c r="P23" s="18"/>
      <c r="R23" s="143">
        <v>3</v>
      </c>
      <c r="S23" s="122">
        <f t="shared" si="0"/>
        <v>3</v>
      </c>
      <c r="T23" s="43" t="s">
        <v>138</v>
      </c>
      <c r="U23" s="65">
        <f t="shared" si="1"/>
        <v>0</v>
      </c>
      <c r="V23" s="65">
        <f>SUMIF(Spielplan!G$6:G$241,T23,Spielplan!X$6:X$241)+SUMIF(Spielplan!K$6:K$241,T23,Spielplan!Z$6:Z$241)</f>
        <v>0</v>
      </c>
      <c r="W23" s="67" t="s">
        <v>0</v>
      </c>
      <c r="X23" s="65">
        <f>SUMIF(Spielplan!G$6:G$241,T23,Spielplan!Z$6:Z$241)+SUMIF(Spielplan!K$6:K$241,T23,Spielplan!X$6:X$241)</f>
        <v>0</v>
      </c>
      <c r="Y23" s="65">
        <f t="shared" si="2"/>
        <v>0</v>
      </c>
      <c r="Z23" s="65">
        <f>SUMIF(Spielplan!G$6:G$241,T23,Spielplan!AB$6:AB$241)+SUMIF(Spielplan!K$6:K$241,T23,Spielplan!AD$6:AD$241)</f>
        <v>0</v>
      </c>
      <c r="AA23" s="67" t="s">
        <v>0</v>
      </c>
      <c r="AB23" s="65">
        <f>SUMIF(Spielplan!G$6:G$241,T23,Spielplan!AD$6:AD$241)+SUMIF(Spielplan!K$6:K$241,T23,Spielplan!AB$6:AB$241)</f>
        <v>0</v>
      </c>
      <c r="AC23" s="66">
        <f t="shared" si="3"/>
        <v>0</v>
      </c>
      <c r="AD23" s="130">
        <f t="shared" si="4"/>
        <v>0</v>
      </c>
      <c r="AE23" s="65">
        <f>SUMIF(Spielplan!G$6:G$241,T23,Spielplan!AF$6:AF$241)+SUMIF(Spielplan!K$6:K$241,T23,Spielplan!AH$6:AH$241)</f>
        <v>0</v>
      </c>
      <c r="AF23" s="67" t="s">
        <v>0</v>
      </c>
      <c r="AG23" s="65">
        <f>SUMIF(Spielplan!G$6:G$241,T23,Spielplan!AH$6:AH$241)+SUMIF(Spielplan!K$6:K$241,T23,Spielplan!AF$6:AF$241)</f>
        <v>0</v>
      </c>
      <c r="AH23" s="66">
        <f t="shared" si="5"/>
        <v>0</v>
      </c>
      <c r="AI23" s="144">
        <f t="shared" si="6"/>
        <v>3</v>
      </c>
      <c r="AJ23" s="68"/>
      <c r="AK23" s="49">
        <f t="shared" si="7"/>
        <v>3</v>
      </c>
      <c r="AL23" s="123">
        <f t="shared" si="8"/>
        <v>6.0000000000000008E-8</v>
      </c>
      <c r="AM23" s="123">
        <f t="shared" si="13"/>
        <v>0</v>
      </c>
      <c r="AN23" s="123">
        <f t="shared" ref="AN23:AN29" si="14">SUM(IF(V23&gt;V$22,1,0)+IF(Y23&gt;Y$22,0.1,0)+IF(AC23&gt;AC$22,0.01,0)+IF(AD23&gt;AD$22,0.001,0)+IF(AH23&gt;AH$22,0.0001,0))</f>
        <v>0</v>
      </c>
      <c r="AO23" s="126" t="s">
        <v>71</v>
      </c>
      <c r="AP23" s="123">
        <f>SUM(IF(V23&gt;V$24,1,0)+IF(Y23&gt;Y$24,0.1,0)+IF(AC23&gt;AC$24,0.01,0)+IF(AD23&gt;AD$24,0.001,0)+IF(AH23&gt;AH$24,0.0001,0))</f>
        <v>0</v>
      </c>
      <c r="AQ23" s="123">
        <f>SUM(IF(V23&gt;V$25,1,0)+IF(Y23&gt;Y$25,0.1,0)+IF(AC23&gt;AC$25,0.01,0)+IF(AD23&gt;AD$25,0.001,0)+IF(AH23&gt;AH$25,0.0001,0))</f>
        <v>0</v>
      </c>
      <c r="AR23" s="123">
        <f>SUM(IF(V23&gt;V$26,1,0)+IF(Y23&gt;Y$26,0.1,0)+IF(AC23&gt;AC$26,0.01,0)+IF(AD23&gt;AD$26,0.001,0)+IF(AH23&gt;AH$26,0.0001,0))</f>
        <v>0</v>
      </c>
      <c r="AS23" s="123">
        <f t="shared" si="9"/>
        <v>0</v>
      </c>
      <c r="AT23" s="123">
        <f t="shared" si="10"/>
        <v>0</v>
      </c>
      <c r="AU23" s="123">
        <f t="shared" si="11"/>
        <v>0</v>
      </c>
      <c r="AV23" s="124">
        <f t="shared" si="12"/>
        <v>6.0000000000000008E-8</v>
      </c>
      <c r="AW23" s="123"/>
      <c r="AX23" s="123"/>
      <c r="AY23" s="123"/>
      <c r="AZ23" s="123"/>
      <c r="BA23" s="124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51"/>
    </row>
    <row r="24" spans="1:76" s="22" customFormat="1">
      <c r="A24" s="12">
        <f>VLOOKUP(4,S21:AI29,1,0)</f>
        <v>4</v>
      </c>
      <c r="B24" s="21" t="str">
        <f>VLOOKUP(4,S21:AI29,2,0)</f>
        <v>Team 4</v>
      </c>
      <c r="C24" s="20">
        <f>VLOOKUP(4,S21:AI29,3,0)</f>
        <v>0</v>
      </c>
      <c r="D24" s="20">
        <f>VLOOKUP(4,S21:AI29,4,0)</f>
        <v>0</v>
      </c>
      <c r="E24" s="20" t="s">
        <v>0</v>
      </c>
      <c r="F24" s="20">
        <f>VLOOKUP(4,S21:AI29,6,0)</f>
        <v>0</v>
      </c>
      <c r="G24" s="9"/>
      <c r="H24" s="12">
        <f>VLOOKUP(4,S21:AI29,8,0)</f>
        <v>0</v>
      </c>
      <c r="I24" s="20" t="s">
        <v>0</v>
      </c>
      <c r="J24" s="12">
        <f>VLOOKUP(4,S21:AI29,10,0)</f>
        <v>0</v>
      </c>
      <c r="K24" s="46">
        <f>VLOOKUP(4,S21:AI29,11,0)</f>
        <v>0</v>
      </c>
      <c r="L24" s="20">
        <f>VLOOKUP(4,S21:AI29,13,0)</f>
        <v>0</v>
      </c>
      <c r="M24" s="20" t="s">
        <v>0</v>
      </c>
      <c r="N24" s="20">
        <f>VLOOKUP(4,S21:AI29,15,0)</f>
        <v>0</v>
      </c>
      <c r="O24" s="46">
        <f t="shared" ref="O24:O29" si="15">VLOOKUP(4,S21:AI24,16,0)</f>
        <v>0</v>
      </c>
      <c r="P24" s="18"/>
      <c r="R24" s="143">
        <v>4</v>
      </c>
      <c r="S24" s="122">
        <f t="shared" si="0"/>
        <v>4</v>
      </c>
      <c r="T24" s="43" t="s">
        <v>139</v>
      </c>
      <c r="U24" s="65">
        <f t="shared" si="1"/>
        <v>0</v>
      </c>
      <c r="V24" s="65">
        <f>SUMIF(Spielplan!G$6:G$241,T24,Spielplan!X$6:X$241)+SUMIF(Spielplan!K$6:K$241,T24,Spielplan!Z$6:Z$241)</f>
        <v>0</v>
      </c>
      <c r="W24" s="67" t="s">
        <v>0</v>
      </c>
      <c r="X24" s="65">
        <f>SUMIF(Spielplan!G$6:G$241,T24,Spielplan!Z$6:Z$241)+SUMIF(Spielplan!K$6:K$241,T24,Spielplan!X$6:X$241)</f>
        <v>0</v>
      </c>
      <c r="Y24" s="65">
        <f t="shared" si="2"/>
        <v>0</v>
      </c>
      <c r="Z24" s="65">
        <f>SUMIF(Spielplan!G$6:G$241,T24,Spielplan!AB$6:AB$241)+SUMIF(Spielplan!K$6:K$241,T24,Spielplan!AD$6:AD$241)</f>
        <v>0</v>
      </c>
      <c r="AA24" s="67" t="s">
        <v>0</v>
      </c>
      <c r="AB24" s="65">
        <f>SUMIF(Spielplan!G$6:G$241,T24,Spielplan!AD$6:AD$241)+SUMIF(Spielplan!K$6:K$241,T24,Spielplan!AB$6:AB$241)</f>
        <v>0</v>
      </c>
      <c r="AC24" s="66">
        <f t="shared" si="3"/>
        <v>0</v>
      </c>
      <c r="AD24" s="130">
        <f t="shared" si="4"/>
        <v>0</v>
      </c>
      <c r="AE24" s="65">
        <f>SUMIF(Spielplan!G$6:G$241,T24,Spielplan!AF$6:AF$241)+SUMIF(Spielplan!K$6:K$241,T24,Spielplan!AH$6:AH$241)</f>
        <v>0</v>
      </c>
      <c r="AF24" s="67" t="s">
        <v>0</v>
      </c>
      <c r="AG24" s="65">
        <f>SUMIF(Spielplan!G$6:G$241,T24,Spielplan!AH$6:AH$241)+SUMIF(Spielplan!K$6:K$241,T24,Spielplan!AF$6:AF$241)</f>
        <v>0</v>
      </c>
      <c r="AH24" s="66">
        <f t="shared" si="5"/>
        <v>0</v>
      </c>
      <c r="AI24" s="144">
        <f t="shared" si="6"/>
        <v>4</v>
      </c>
      <c r="AJ24" s="68"/>
      <c r="AK24" s="49">
        <f t="shared" si="7"/>
        <v>4</v>
      </c>
      <c r="AL24" s="123">
        <f t="shared" si="8"/>
        <v>4.9999999999999998E-8</v>
      </c>
      <c r="AM24" s="123">
        <f t="shared" si="13"/>
        <v>0</v>
      </c>
      <c r="AN24" s="123">
        <f t="shared" si="14"/>
        <v>0</v>
      </c>
      <c r="AO24" s="123">
        <f t="shared" ref="AO24:AO29" si="16">SUM(IF(V24&gt;V$23,1,0)+IF(Y24&gt;Y$23,0.1,0)+IF(AC24&gt;AC$23,0.01,0)+IF(AD24&gt;AD$23,0.001,0)+IF(AH24&gt;AH$23,0.0001,0))</f>
        <v>0</v>
      </c>
      <c r="AP24" s="126" t="s">
        <v>71</v>
      </c>
      <c r="AQ24" s="123">
        <f>SUM(IF(V24&gt;V$25,1,0)+IF(Y24&gt;Y$25,0.1,0)+IF(AC24&gt;AC$25,0.01,0)+IF(AD24&gt;AD$25,0.001,0)+IF(AH24&gt;AH$25,0.0001,0))</f>
        <v>0</v>
      </c>
      <c r="AR24" s="123">
        <f>SUM(IF(V24&gt;V$26,1,0)+IF(Y24&gt;Y$26,0.1,0)+IF(AC24&gt;AC$26,0.01,0)+IF(AD24&gt;AD$26,0.001,0)+IF(AH24&gt;AH$26,0.0001,0))</f>
        <v>0</v>
      </c>
      <c r="AS24" s="123">
        <f t="shared" si="9"/>
        <v>0</v>
      </c>
      <c r="AT24" s="123">
        <f t="shared" si="10"/>
        <v>0</v>
      </c>
      <c r="AU24" s="123">
        <f t="shared" si="11"/>
        <v>0</v>
      </c>
      <c r="AV24" s="124">
        <f t="shared" si="12"/>
        <v>4.9999999999999998E-8</v>
      </c>
      <c r="AW24" s="123"/>
      <c r="AX24" s="123"/>
      <c r="AY24" s="123"/>
      <c r="AZ24" s="123"/>
      <c r="BA24" s="124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51"/>
    </row>
    <row r="25" spans="1:76" s="22" customFormat="1">
      <c r="A25" s="12">
        <f>VLOOKUP(5,S21:AI29,1,0)</f>
        <v>5</v>
      </c>
      <c r="B25" s="21" t="str">
        <f>VLOOKUP(5,S21:AI29,2,0)</f>
        <v>Team 5</v>
      </c>
      <c r="C25" s="20">
        <f>VLOOKUP(5,S21:AI29,3,0)</f>
        <v>0</v>
      </c>
      <c r="D25" s="20">
        <f>VLOOKUP(5,S21:AI29,4,0)</f>
        <v>0</v>
      </c>
      <c r="E25" s="20" t="s">
        <v>0</v>
      </c>
      <c r="F25" s="20">
        <f>VLOOKUP(5,S21:AI29,6,0)</f>
        <v>0</v>
      </c>
      <c r="G25" s="9"/>
      <c r="H25" s="12">
        <f>VLOOKUP(5,S21:AI29,8,0)</f>
        <v>0</v>
      </c>
      <c r="I25" s="20" t="s">
        <v>0</v>
      </c>
      <c r="J25" s="12">
        <f>VLOOKUP(5,S21:AI29,10,0)</f>
        <v>0</v>
      </c>
      <c r="K25" s="46">
        <f>VLOOKUP(5,S21:AI29,11,0)</f>
        <v>0</v>
      </c>
      <c r="L25" s="20">
        <f>VLOOKUP(5,S21:AI29,13,0)</f>
        <v>0</v>
      </c>
      <c r="M25" s="20" t="s">
        <v>0</v>
      </c>
      <c r="N25" s="20">
        <f>VLOOKUP(5,S21:AI29,15,0)</f>
        <v>0</v>
      </c>
      <c r="O25" s="46">
        <f t="shared" si="15"/>
        <v>0</v>
      </c>
      <c r="P25" s="18"/>
      <c r="R25" s="143">
        <v>5</v>
      </c>
      <c r="S25" s="122">
        <f t="shared" si="0"/>
        <v>5</v>
      </c>
      <c r="T25" s="43" t="s">
        <v>140</v>
      </c>
      <c r="U25" s="65">
        <f t="shared" si="1"/>
        <v>0</v>
      </c>
      <c r="V25" s="65">
        <f>SUMIF(Spielplan!G$6:G$241,T25,Spielplan!X$6:X$241)+SUMIF(Spielplan!K$6:K$241,T25,Spielplan!Z$6:Z$241)</f>
        <v>0</v>
      </c>
      <c r="W25" s="67" t="s">
        <v>0</v>
      </c>
      <c r="X25" s="65">
        <f>SUMIF(Spielplan!G$6:G$241,T25,Spielplan!Z$6:Z$241)+SUMIF(Spielplan!K$6:K$241,T25,Spielplan!X$6:X$241)</f>
        <v>0</v>
      </c>
      <c r="Y25" s="65">
        <f t="shared" si="2"/>
        <v>0</v>
      </c>
      <c r="Z25" s="65">
        <f>SUMIF(Spielplan!G$6:G$241,T25,Spielplan!AB$6:AB$241)+SUMIF(Spielplan!K$6:K$241,T25,Spielplan!AD$6:AD$241)</f>
        <v>0</v>
      </c>
      <c r="AA25" s="67" t="s">
        <v>0</v>
      </c>
      <c r="AB25" s="65">
        <f>SUMIF(Spielplan!G$6:G$241,T25,Spielplan!AD$6:AD$241)+SUMIF(Spielplan!K$6:K$241,T25,Spielplan!AB$6:AB$241)</f>
        <v>0</v>
      </c>
      <c r="AC25" s="66">
        <f t="shared" si="3"/>
        <v>0</v>
      </c>
      <c r="AD25" s="130">
        <f t="shared" si="4"/>
        <v>0</v>
      </c>
      <c r="AE25" s="65">
        <f>SUMIF(Spielplan!G$6:G$241,T25,Spielplan!AF$6:AF$241)+SUMIF(Spielplan!K$6:K$241,T25,Spielplan!AH$6:AH$241)</f>
        <v>0</v>
      </c>
      <c r="AF25" s="67" t="s">
        <v>0</v>
      </c>
      <c r="AG25" s="65">
        <f>SUMIF(Spielplan!G$6:G$241,T25,Spielplan!AH$6:AH$241)+SUMIF(Spielplan!K$6:K$241,T25,Spielplan!AF$6:AF$241)</f>
        <v>0</v>
      </c>
      <c r="AH25" s="66">
        <f t="shared" si="5"/>
        <v>0</v>
      </c>
      <c r="AI25" s="144">
        <f t="shared" si="6"/>
        <v>5</v>
      </c>
      <c r="AJ25" s="68"/>
      <c r="AK25" s="49">
        <f t="shared" si="7"/>
        <v>5</v>
      </c>
      <c r="AL25" s="123">
        <f t="shared" si="8"/>
        <v>4.0000000000000001E-8</v>
      </c>
      <c r="AM25" s="123">
        <f t="shared" si="13"/>
        <v>0</v>
      </c>
      <c r="AN25" s="123">
        <f t="shared" si="14"/>
        <v>0</v>
      </c>
      <c r="AO25" s="123">
        <f t="shared" si="16"/>
        <v>0</v>
      </c>
      <c r="AP25" s="123">
        <f>SUM(IF(V25&gt;V$24,1,0)+IF(Y25&gt;Y$24,0.1,0)+IF(AC25&gt;AC$24,0.01,0)+IF(AD25&gt;AD$24,0.001,0)+IF(AH25&gt;AH$24,0.0001,0))</f>
        <v>0</v>
      </c>
      <c r="AQ25" s="126" t="s">
        <v>71</v>
      </c>
      <c r="AR25" s="123">
        <f>SUM(IF(V25&gt;V$26,1,0)+IF(Y25&gt;Y$26,0.1,0)+IF(AC25&gt;AC$26,0.01,0)+IF(AD25&gt;AD$26,0.001,0)+IF(AH25&gt;AH$26,0.0001,0))</f>
        <v>0</v>
      </c>
      <c r="AS25" s="123">
        <f t="shared" si="9"/>
        <v>0</v>
      </c>
      <c r="AT25" s="123">
        <f t="shared" si="10"/>
        <v>0</v>
      </c>
      <c r="AU25" s="123">
        <f t="shared" si="11"/>
        <v>0</v>
      </c>
      <c r="AV25" s="124">
        <f t="shared" si="12"/>
        <v>4.0000000000000001E-8</v>
      </c>
      <c r="AW25" s="123"/>
      <c r="AX25" s="123"/>
      <c r="AY25" s="123"/>
      <c r="AZ25" s="123"/>
      <c r="BA25" s="124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51"/>
    </row>
    <row r="26" spans="1:76" s="22" customFormat="1">
      <c r="A26" s="12">
        <f>VLOOKUP(6,S21:AI29,1,0)</f>
        <v>6</v>
      </c>
      <c r="B26" s="21" t="str">
        <f>VLOOKUP(6,S21:AI29,2,0)</f>
        <v>Team 6</v>
      </c>
      <c r="C26" s="20">
        <f>VLOOKUP(6,S21:AI29,3,0)</f>
        <v>0</v>
      </c>
      <c r="D26" s="20">
        <f>VLOOKUP(6,S21:AI29,4,0)</f>
        <v>0</v>
      </c>
      <c r="E26" s="20" t="s">
        <v>0</v>
      </c>
      <c r="F26" s="20">
        <f>VLOOKUP(6,S21:AI29,6,0)</f>
        <v>0</v>
      </c>
      <c r="G26" s="9"/>
      <c r="H26" s="12">
        <f>VLOOKUP(6,S21:AI29,8,0)</f>
        <v>0</v>
      </c>
      <c r="I26" s="20" t="s">
        <v>0</v>
      </c>
      <c r="J26" s="12">
        <f>VLOOKUP(6,S21:AI29,10,0)</f>
        <v>0</v>
      </c>
      <c r="K26" s="46">
        <f>VLOOKUP(6,S21:AI29,11,0)</f>
        <v>0</v>
      </c>
      <c r="L26" s="20">
        <f>VLOOKUP(6,S21:AI29,13,0)</f>
        <v>0</v>
      </c>
      <c r="M26" s="20" t="s">
        <v>0</v>
      </c>
      <c r="N26" s="20">
        <f>VLOOKUP(6,S21:AI29,15,0)</f>
        <v>0</v>
      </c>
      <c r="O26" s="46">
        <f t="shared" si="15"/>
        <v>0</v>
      </c>
      <c r="P26" s="18"/>
      <c r="R26" s="143">
        <v>6</v>
      </c>
      <c r="S26" s="122">
        <f t="shared" si="0"/>
        <v>6</v>
      </c>
      <c r="T26" s="43" t="s">
        <v>141</v>
      </c>
      <c r="U26" s="65">
        <f t="shared" si="1"/>
        <v>0</v>
      </c>
      <c r="V26" s="65">
        <f>SUMIF(Spielplan!G$6:G$241,T26,Spielplan!X$6:X$241)+SUMIF(Spielplan!K$6:K$241,T26,Spielplan!Z$6:Z$241)</f>
        <v>0</v>
      </c>
      <c r="W26" s="67" t="s">
        <v>0</v>
      </c>
      <c r="X26" s="65">
        <f>SUMIF(Spielplan!G$6:G$241,T26,Spielplan!Z$6:Z$241)+SUMIF(Spielplan!K$6:K$241,T26,Spielplan!X$6:X$241)</f>
        <v>0</v>
      </c>
      <c r="Y26" s="65">
        <f t="shared" si="2"/>
        <v>0</v>
      </c>
      <c r="Z26" s="65">
        <f>SUMIF(Spielplan!G$6:G$241,T26,Spielplan!AB$6:AB$241)+SUMIF(Spielplan!K$6:K$241,T26,Spielplan!AD$6:AD$241)</f>
        <v>0</v>
      </c>
      <c r="AA26" s="67" t="s">
        <v>0</v>
      </c>
      <c r="AB26" s="65">
        <f>SUMIF(Spielplan!G$6:G$241,T26,Spielplan!AD$6:AD$241)+SUMIF(Spielplan!K$6:K$241,T26,Spielplan!AB$6:AB$241)</f>
        <v>0</v>
      </c>
      <c r="AC26" s="66">
        <f t="shared" si="3"/>
        <v>0</v>
      </c>
      <c r="AD26" s="130">
        <f t="shared" si="4"/>
        <v>0</v>
      </c>
      <c r="AE26" s="65">
        <f>SUMIF(Spielplan!G$6:G$241,T26,Spielplan!AF$6:AF$241)+SUMIF(Spielplan!K$6:K$241,T26,Spielplan!AH$6:AH$241)</f>
        <v>0</v>
      </c>
      <c r="AF26" s="67" t="s">
        <v>0</v>
      </c>
      <c r="AG26" s="65">
        <f>SUMIF(Spielplan!G$6:G$241,T26,Spielplan!AH$6:AH$241)+SUMIF(Spielplan!K$6:K$241,T26,Spielplan!AF$6:AF$241)</f>
        <v>0</v>
      </c>
      <c r="AH26" s="66">
        <f t="shared" si="5"/>
        <v>0</v>
      </c>
      <c r="AI26" s="144">
        <f t="shared" si="6"/>
        <v>6</v>
      </c>
      <c r="AJ26" s="68"/>
      <c r="AK26" s="49">
        <f t="shared" si="7"/>
        <v>6</v>
      </c>
      <c r="AL26" s="123">
        <f t="shared" si="8"/>
        <v>3.0000000000000004E-8</v>
      </c>
      <c r="AM26" s="123">
        <f t="shared" si="13"/>
        <v>0</v>
      </c>
      <c r="AN26" s="123">
        <f t="shared" si="14"/>
        <v>0</v>
      </c>
      <c r="AO26" s="123">
        <f t="shared" si="16"/>
        <v>0</v>
      </c>
      <c r="AP26" s="123">
        <f>SUM(IF(V26&gt;V$24,1,0)+IF(Y26&gt;Y$24,0.1,0)+IF(AC26&gt;AC$24,0.01,0)+IF(AD26&gt;AD$24,0.001,0)+IF(AH26&gt;AH$24,0.0001,0))</f>
        <v>0</v>
      </c>
      <c r="AQ26" s="123">
        <f>SUM(IF(V26&gt;V$25,1,0)+IF(Y26&gt;Y$25,0.1,0)+IF(AC26&gt;AC$25,0.01,0)+IF(AD26&gt;AD$25,0.001,0)+IF(AH26&gt;AH$25,0.0001,0))</f>
        <v>0</v>
      </c>
      <c r="AR26" s="126" t="s">
        <v>71</v>
      </c>
      <c r="AS26" s="123">
        <f t="shared" si="9"/>
        <v>0</v>
      </c>
      <c r="AT26" s="123">
        <f t="shared" si="10"/>
        <v>0</v>
      </c>
      <c r="AU26" s="123">
        <f t="shared" si="11"/>
        <v>0</v>
      </c>
      <c r="AV26" s="124">
        <f t="shared" si="12"/>
        <v>3.0000000000000004E-8</v>
      </c>
      <c r="AW26" s="123"/>
      <c r="AX26" s="123"/>
      <c r="AY26" s="123"/>
      <c r="AZ26" s="123"/>
      <c r="BA26" s="124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51"/>
    </row>
    <row r="27" spans="1:76" s="22" customFormat="1">
      <c r="A27" s="12">
        <f>VLOOKUP(7,S21:AI29,1,0)</f>
        <v>7</v>
      </c>
      <c r="B27" s="21" t="str">
        <f>VLOOKUP(7,S21:AI29,2,0)</f>
        <v>Team 7</v>
      </c>
      <c r="C27" s="20">
        <f>VLOOKUP(7,S21:AI29,3,0)</f>
        <v>0</v>
      </c>
      <c r="D27" s="20">
        <f>VLOOKUP(7,S21:AI29,4,0)</f>
        <v>0</v>
      </c>
      <c r="E27" s="20" t="s">
        <v>0</v>
      </c>
      <c r="F27" s="20">
        <f>VLOOKUP(7,S21:AI29,6,0)</f>
        <v>0</v>
      </c>
      <c r="G27" s="9"/>
      <c r="H27" s="12">
        <f>VLOOKUP(7,S21:AI29,8,0)</f>
        <v>0</v>
      </c>
      <c r="I27" s="20" t="s">
        <v>0</v>
      </c>
      <c r="J27" s="12">
        <f>VLOOKUP(7,S21:AI29,10,0)</f>
        <v>0</v>
      </c>
      <c r="K27" s="46">
        <f>VLOOKUP(7,S21:AI29,11,0)</f>
        <v>0</v>
      </c>
      <c r="L27" s="20">
        <f>VLOOKUP(7,S21:AI29,13,0)</f>
        <v>0</v>
      </c>
      <c r="M27" s="20" t="s">
        <v>0</v>
      </c>
      <c r="N27" s="20">
        <f>VLOOKUP(7,S21:AI29,15,0)</f>
        <v>0</v>
      </c>
      <c r="O27" s="46">
        <f t="shared" si="15"/>
        <v>0</v>
      </c>
      <c r="P27" s="18"/>
      <c r="R27" s="143">
        <v>7</v>
      </c>
      <c r="S27" s="122">
        <f t="shared" si="0"/>
        <v>7</v>
      </c>
      <c r="T27" s="43" t="s">
        <v>142</v>
      </c>
      <c r="U27" s="65">
        <f t="shared" si="1"/>
        <v>0</v>
      </c>
      <c r="V27" s="65">
        <f>SUMIF(Spielplan!G$6:G$241,T27,Spielplan!X$6:X$241)+SUMIF(Spielplan!K$6:K$241,T27,Spielplan!Z$6:Z$241)</f>
        <v>0</v>
      </c>
      <c r="W27" s="67" t="s">
        <v>0</v>
      </c>
      <c r="X27" s="65">
        <f>SUMIF(Spielplan!G$6:G$241,T27,Spielplan!Z$6:Z$241)+SUMIF(Spielplan!K$6:K$241,T27,Spielplan!X$6:X$241)</f>
        <v>0</v>
      </c>
      <c r="Y27" s="65">
        <f t="shared" si="2"/>
        <v>0</v>
      </c>
      <c r="Z27" s="65">
        <f>SUMIF(Spielplan!G$6:G$241,T27,Spielplan!AB$6:AB$241)+SUMIF(Spielplan!K$6:K$241,T27,Spielplan!AD$6:AD$241)</f>
        <v>0</v>
      </c>
      <c r="AA27" s="67" t="s">
        <v>0</v>
      </c>
      <c r="AB27" s="65">
        <f>SUMIF(Spielplan!G$6:G$241,T27,Spielplan!AD$6:AD$241)+SUMIF(Spielplan!K$6:K$241,T27,Spielplan!AB$6:AB$241)</f>
        <v>0</v>
      </c>
      <c r="AC27" s="66">
        <f t="shared" si="3"/>
        <v>0</v>
      </c>
      <c r="AD27" s="130">
        <f t="shared" si="4"/>
        <v>0</v>
      </c>
      <c r="AE27" s="65">
        <f>SUMIF(Spielplan!G$6:G$241,T27,Spielplan!AF$6:AF$241)+SUMIF(Spielplan!K$6:K$241,T27,Spielplan!AH$6:AH$241)</f>
        <v>0</v>
      </c>
      <c r="AF27" s="67" t="s">
        <v>0</v>
      </c>
      <c r="AG27" s="65">
        <f>SUMIF(Spielplan!G$6:G$241,T27,Spielplan!AH$6:AH$241)+SUMIF(Spielplan!K$6:K$241,T27,Spielplan!AF$6:AF$241)</f>
        <v>0</v>
      </c>
      <c r="AH27" s="66">
        <f t="shared" si="5"/>
        <v>0</v>
      </c>
      <c r="AI27" s="144">
        <f t="shared" si="6"/>
        <v>7</v>
      </c>
      <c r="AJ27" s="68"/>
      <c r="AK27" s="49">
        <f t="shared" si="7"/>
        <v>7</v>
      </c>
      <c r="AL27" s="123">
        <f t="shared" si="8"/>
        <v>2E-8</v>
      </c>
      <c r="AM27" s="123">
        <f t="shared" si="13"/>
        <v>0</v>
      </c>
      <c r="AN27" s="123">
        <f t="shared" si="14"/>
        <v>0</v>
      </c>
      <c r="AO27" s="123">
        <f t="shared" si="16"/>
        <v>0</v>
      </c>
      <c r="AP27" s="123">
        <f>SUM(IF(V27&gt;V$24,1,0)+IF(Y27&gt;Y$24,0.1,0)+IF(AC27&gt;AC$24,0.01,0)+IF(AD27&gt;AD$24,0.001,0)+IF(AH27&gt;AH$24,0.0001,0))</f>
        <v>0</v>
      </c>
      <c r="AQ27" s="123">
        <f>SUM(IF(V27&gt;V$25,1,0)+IF(Y27&gt;Y$25,0.1,0)+IF(AC27&gt;AC$25,0.01,0)+IF(AD27&gt;AD$25,0.001,0)+IF(AH27&gt;AH$25,0.0001,0))</f>
        <v>0</v>
      </c>
      <c r="AR27" s="123">
        <f>SUM(IF(V27&gt;V$26,1,0)+IF(Y27&gt;Y$26,0.1,0)+IF(AC27&gt;AC$26,0.01,0)+IF(AD27&gt;AD$26,0.001,0)+IF(AH27&gt;AH$26,0.0001,0))</f>
        <v>0</v>
      </c>
      <c r="AS27" s="126" t="s">
        <v>71</v>
      </c>
      <c r="AT27" s="123">
        <f t="shared" si="10"/>
        <v>0</v>
      </c>
      <c r="AU27" s="123">
        <f t="shared" si="11"/>
        <v>0</v>
      </c>
      <c r="AV27" s="124">
        <f t="shared" si="12"/>
        <v>2E-8</v>
      </c>
      <c r="AW27" s="123"/>
      <c r="AX27" s="123"/>
      <c r="AY27" s="123"/>
      <c r="AZ27" s="123"/>
      <c r="BA27" s="124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51"/>
    </row>
    <row r="28" spans="1:76" s="22" customFormat="1">
      <c r="A28" s="12">
        <f>VLOOKUP(8,S21:AI29,1,0)</f>
        <v>8</v>
      </c>
      <c r="B28" s="21" t="str">
        <f>VLOOKUP(8,S21:AI29,2,0)</f>
        <v>Team 8</v>
      </c>
      <c r="C28" s="20">
        <f>VLOOKUP(8,S21:AI29,3,0)</f>
        <v>0</v>
      </c>
      <c r="D28" s="20">
        <f>VLOOKUP(8,S21:AI29,4,0)</f>
        <v>0</v>
      </c>
      <c r="E28" s="20" t="s">
        <v>0</v>
      </c>
      <c r="F28" s="20">
        <f>VLOOKUP(8,S21:AI29,6,0)</f>
        <v>0</v>
      </c>
      <c r="G28" s="9"/>
      <c r="H28" s="12">
        <f>VLOOKUP(8,S21:AI29,8,0)</f>
        <v>0</v>
      </c>
      <c r="I28" s="20" t="s">
        <v>0</v>
      </c>
      <c r="J28" s="12">
        <f>VLOOKUP(8,S21:AI29,10,0)</f>
        <v>0</v>
      </c>
      <c r="K28" s="46">
        <f>VLOOKUP(8,S21:AI29,11,0)</f>
        <v>0</v>
      </c>
      <c r="L28" s="20">
        <f>VLOOKUP(8,S21:AI29,13,0)</f>
        <v>0</v>
      </c>
      <c r="M28" s="20" t="s">
        <v>0</v>
      </c>
      <c r="N28" s="20">
        <f>VLOOKUP(8,S21:AI29,15,0)</f>
        <v>0</v>
      </c>
      <c r="O28" s="46" t="e">
        <f t="shared" si="15"/>
        <v>#N/A</v>
      </c>
      <c r="P28" s="18"/>
      <c r="R28" s="143">
        <v>8</v>
      </c>
      <c r="S28" s="122">
        <f t="shared" si="0"/>
        <v>8</v>
      </c>
      <c r="T28" s="43" t="s">
        <v>143</v>
      </c>
      <c r="U28" s="65">
        <f t="shared" si="1"/>
        <v>0</v>
      </c>
      <c r="V28" s="65">
        <f>SUMIF(Spielplan!G$6:G$241,T28,Spielplan!X$6:X$241)+SUMIF(Spielplan!K$6:K$241,T28,Spielplan!Z$6:Z$241)</f>
        <v>0</v>
      </c>
      <c r="W28" s="67" t="s">
        <v>0</v>
      </c>
      <c r="X28" s="65">
        <f>SUMIF(Spielplan!G$6:G$241,T28,Spielplan!Z$6:Z$241)+SUMIF(Spielplan!K$6:K$241,T28,Spielplan!X$6:X$241)</f>
        <v>0</v>
      </c>
      <c r="Y28" s="65">
        <f t="shared" si="2"/>
        <v>0</v>
      </c>
      <c r="Z28" s="65">
        <f>SUMIF(Spielplan!G$6:G$241,T28,Spielplan!AB$6:AB$241)+SUMIF(Spielplan!K$6:K$241,T28,Spielplan!AD$6:AD$241)</f>
        <v>0</v>
      </c>
      <c r="AA28" s="67" t="s">
        <v>0</v>
      </c>
      <c r="AB28" s="65">
        <f>SUMIF(Spielplan!G$6:G$241,T28,Spielplan!AD$6:AD$241)+SUMIF(Spielplan!K$6:K$241,T28,Spielplan!AB$6:AB$241)</f>
        <v>0</v>
      </c>
      <c r="AC28" s="66">
        <f t="shared" si="3"/>
        <v>0</v>
      </c>
      <c r="AD28" s="130">
        <f t="shared" si="4"/>
        <v>0</v>
      </c>
      <c r="AE28" s="65">
        <f>SUMIF(Spielplan!G$6:G$241,T28,Spielplan!AF$6:AF$241)+SUMIF(Spielplan!K$6:K$241,T28,Spielplan!AH$6:AH$241)</f>
        <v>0</v>
      </c>
      <c r="AF28" s="67" t="s">
        <v>0</v>
      </c>
      <c r="AG28" s="65">
        <f>SUMIF(Spielplan!G$6:G$241,T28,Spielplan!AH$6:AH$241)+SUMIF(Spielplan!K$6:K$241,T28,Spielplan!AF$6:AF$241)</f>
        <v>0</v>
      </c>
      <c r="AH28" s="66">
        <f t="shared" si="5"/>
        <v>0</v>
      </c>
      <c r="AI28" s="144">
        <f t="shared" si="6"/>
        <v>8</v>
      </c>
      <c r="AJ28" s="68"/>
      <c r="AK28" s="49">
        <f t="shared" si="7"/>
        <v>8</v>
      </c>
      <c r="AL28" s="123">
        <f t="shared" si="8"/>
        <v>1E-8</v>
      </c>
      <c r="AM28" s="123">
        <f t="shared" si="13"/>
        <v>0</v>
      </c>
      <c r="AN28" s="123">
        <f t="shared" si="14"/>
        <v>0</v>
      </c>
      <c r="AO28" s="123">
        <f t="shared" si="16"/>
        <v>0</v>
      </c>
      <c r="AP28" s="123">
        <f>SUM(IF(V28&gt;V$24,1,0)+IF(Y28&gt;Y$24,0.1,0)+IF(AC28&gt;AC$24,0.01,0)+IF(AD28&gt;AD$24,0.001,0)+IF(AH28&gt;AH$24,0.0001,0))</f>
        <v>0</v>
      </c>
      <c r="AQ28" s="123">
        <f>SUM(IF(V28&gt;V$25,1,0)+IF(Y28&gt;Y$25,0.1,0)+IF(AC28&gt;AC$25,0.01,0)+IF(AD28&gt;AD$25,0.001,0)+IF(AH28&gt;AH$25,0.0001,0))</f>
        <v>0</v>
      </c>
      <c r="AR28" s="123">
        <f>SUM(IF(V28&gt;V$26,1,0)+IF(Y28&gt;Y$26,0.1,0)+IF(AC28&gt;AC$26,0.01,0)+IF(AD28&gt;AD$26,0.001,0)+IF(AH28&gt;AH$26,0.0001,0))</f>
        <v>0</v>
      </c>
      <c r="AS28" s="123">
        <f>SUM(IF(V28&gt;V$27,1,0)+IF(Y28&gt;Y$27,0.1,0)+IF(AC28&gt;AC$27,0.01,0)+IF(AD28&gt;AD$27,0.001,0)+IF(AH28&gt;AH$27,0.0001,0))</f>
        <v>0</v>
      </c>
      <c r="AT28" s="126" t="s">
        <v>71</v>
      </c>
      <c r="AU28" s="123">
        <f t="shared" si="11"/>
        <v>0</v>
      </c>
      <c r="AV28" s="124">
        <f t="shared" si="12"/>
        <v>1E-8</v>
      </c>
      <c r="AW28" s="123"/>
      <c r="AX28" s="123"/>
      <c r="AY28" s="123"/>
      <c r="AZ28" s="123"/>
      <c r="BA28" s="124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51"/>
    </row>
    <row r="29" spans="1:76" s="22" customFormat="1">
      <c r="A29" s="12">
        <f>VLOOKUP(9,S21:AI29,1,0)</f>
        <v>9</v>
      </c>
      <c r="B29" s="21" t="str">
        <f>VLOOKUP(9,S21:AI29,2,0)</f>
        <v>Team 9</v>
      </c>
      <c r="C29" s="20">
        <f>VLOOKUP(9,S21:AI29,3,0)</f>
        <v>0</v>
      </c>
      <c r="D29" s="20">
        <f>VLOOKUP(9,S21:AI29,4,0)</f>
        <v>0</v>
      </c>
      <c r="E29" s="20" t="s">
        <v>0</v>
      </c>
      <c r="F29" s="20">
        <f>VLOOKUP(9,S21:AI29,6,0)</f>
        <v>0</v>
      </c>
      <c r="G29" s="9"/>
      <c r="H29" s="12">
        <f>VLOOKUP(9,S21:AI29,8,0)</f>
        <v>0</v>
      </c>
      <c r="I29" s="20" t="s">
        <v>0</v>
      </c>
      <c r="J29" s="12">
        <f>VLOOKUP(9,S21:AI29,10,0)</f>
        <v>0</v>
      </c>
      <c r="K29" s="46">
        <f>VLOOKUP(9,S21:AI29,11,0)</f>
        <v>0</v>
      </c>
      <c r="L29" s="20">
        <f>VLOOKUP(9,S21:AI29,13,0)</f>
        <v>0</v>
      </c>
      <c r="M29" s="20" t="s">
        <v>0</v>
      </c>
      <c r="N29" s="20">
        <f>VLOOKUP(9,S21:AI29,15,0)</f>
        <v>0</v>
      </c>
      <c r="O29" s="46" t="e">
        <f t="shared" si="15"/>
        <v>#N/A</v>
      </c>
      <c r="P29" s="18"/>
      <c r="R29" s="143">
        <v>9</v>
      </c>
      <c r="S29" s="122">
        <f t="shared" si="0"/>
        <v>9</v>
      </c>
      <c r="T29" s="43" t="s">
        <v>144</v>
      </c>
      <c r="U29" s="65">
        <f t="shared" si="1"/>
        <v>0</v>
      </c>
      <c r="V29" s="65">
        <f>SUMIF(Spielplan!G$6:G$241,T29,Spielplan!X$6:X$241)+SUMIF(Spielplan!K$6:K$241,T29,Spielplan!Z$6:Z$241)</f>
        <v>0</v>
      </c>
      <c r="W29" s="67" t="s">
        <v>0</v>
      </c>
      <c r="X29" s="65">
        <f>SUMIF(Spielplan!G$6:G$241,T29,Spielplan!Z$6:Z$241)+SUMIF(Spielplan!K$6:K$241,T29,Spielplan!X$6:X$241)</f>
        <v>0</v>
      </c>
      <c r="Y29" s="65">
        <f t="shared" si="2"/>
        <v>0</v>
      </c>
      <c r="Z29" s="65">
        <f>SUMIF(Spielplan!G$6:G$241,T29,Spielplan!AB$6:AB$241)+SUMIF(Spielplan!K$6:K$241,T29,Spielplan!AD$6:AD$241)</f>
        <v>0</v>
      </c>
      <c r="AA29" s="67" t="s">
        <v>0</v>
      </c>
      <c r="AB29" s="65">
        <f>SUMIF(Spielplan!G$6:G$241,T29,Spielplan!AD$6:AD$241)+SUMIF(Spielplan!K$6:K$241,T29,Spielplan!AB$6:AB$241)</f>
        <v>0</v>
      </c>
      <c r="AC29" s="66">
        <f t="shared" si="3"/>
        <v>0</v>
      </c>
      <c r="AD29" s="130">
        <f t="shared" si="4"/>
        <v>0</v>
      </c>
      <c r="AE29" s="65">
        <f>SUMIF(Spielplan!G$6:G$241,T29,Spielplan!AF$6:AF$241)+SUMIF(Spielplan!K$6:K$241,T29,Spielplan!AH$6:AH$241)</f>
        <v>0</v>
      </c>
      <c r="AF29" s="67" t="s">
        <v>0</v>
      </c>
      <c r="AG29" s="65">
        <f>SUMIF(Spielplan!G$6:G$241,T29,Spielplan!AH$6:AH$241)+SUMIF(Spielplan!K$6:K$241,T29,Spielplan!AF$6:AF$241)</f>
        <v>0</v>
      </c>
      <c r="AH29" s="66">
        <f t="shared" si="5"/>
        <v>0</v>
      </c>
      <c r="AI29" s="144">
        <f t="shared" si="6"/>
        <v>9</v>
      </c>
      <c r="AJ29" s="68"/>
      <c r="AK29" s="49">
        <f t="shared" si="7"/>
        <v>9</v>
      </c>
      <c r="AL29" s="123">
        <f t="shared" si="8"/>
        <v>0</v>
      </c>
      <c r="AM29" s="123">
        <f t="shared" si="13"/>
        <v>0</v>
      </c>
      <c r="AN29" s="123">
        <f t="shared" si="14"/>
        <v>0</v>
      </c>
      <c r="AO29" s="123">
        <f t="shared" si="16"/>
        <v>0</v>
      </c>
      <c r="AP29" s="123">
        <f>SUM(IF(V29&gt;V$24,1,0)+IF(Y29&gt;Y$24,0.1,0)+IF(AC29&gt;AC$24,0.01,0)+IF(AD29&gt;AD$24,0.001,0)+IF(AH29&gt;AH$24,0.0001,0))</f>
        <v>0</v>
      </c>
      <c r="AQ29" s="123">
        <f>SUM(IF(V29&gt;V$25,1,0)+IF(Y29&gt;Y$25,0.1,0)+IF(AC29&gt;AC$25,0.01,0)+IF(AD29&gt;AD$25,0.001,0)+IF(AH29&gt;AH$25,0.0001,0))</f>
        <v>0</v>
      </c>
      <c r="AR29" s="123">
        <f>SUM(IF(V29&gt;V$26,1,0)+IF(Y29&gt;Y$26,0.1,0)+IF(AC29&gt;AC$26,0.01,0)+IF(AD29&gt;AD$26,0.001,0)+IF(AH29&gt;AH$26,0.0001,0))</f>
        <v>0</v>
      </c>
      <c r="AS29" s="123">
        <f>SUM(IF(V29&gt;V$27,1,0)+IF(Y29&gt;Y$27,0.1,0)+IF(AC29&gt;AC$27,0.01,0)+IF(AD29&gt;AD$27,0.001,0)+IF(AH29&gt;AH$27,0.0001,0))</f>
        <v>0</v>
      </c>
      <c r="AT29" s="123">
        <f>SUM(IF(V29&gt;V$28,1,0)+IF(Y29&gt;Y$28,0.1,0)+IF(AC29&gt;AC$28,0.01,0)+IF(AD29&gt;AD$28,0.001,0)+IF(AH29&gt;AH$28,0.0001,0))</f>
        <v>0</v>
      </c>
      <c r="AU29" s="126" t="s">
        <v>71</v>
      </c>
      <c r="AV29" s="124">
        <f t="shared" si="12"/>
        <v>0</v>
      </c>
      <c r="AW29" s="123"/>
      <c r="AX29" s="123"/>
      <c r="AY29" s="123"/>
      <c r="AZ29" s="123"/>
      <c r="BA29" s="124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51"/>
    </row>
  </sheetData>
  <sheetProtection selectLockedCells="1"/>
  <mergeCells count="17">
    <mergeCell ref="R19:R20"/>
    <mergeCell ref="S1:AJ1"/>
    <mergeCell ref="AI2:AJ2"/>
    <mergeCell ref="V19:X19"/>
    <mergeCell ref="AE19:AG19"/>
    <mergeCell ref="Z19:AB19"/>
    <mergeCell ref="U6:Z6"/>
    <mergeCell ref="U5:Z5"/>
    <mergeCell ref="U4:Z4"/>
    <mergeCell ref="U8:Z8"/>
    <mergeCell ref="A1:Q1"/>
    <mergeCell ref="L19:N19"/>
    <mergeCell ref="D19:F19"/>
    <mergeCell ref="A2:Q3"/>
    <mergeCell ref="A4:Q5"/>
    <mergeCell ref="H19:J19"/>
    <mergeCell ref="K6:P6"/>
  </mergeCells>
  <phoneticPr fontId="0" type="noConversion"/>
  <conditionalFormatting sqref="A29:AO29 AQ29:IV29">
    <cfRule type="expression" dxfId="233" priority="12" stopIfTrue="1">
      <formula>$AE$4&lt;9</formula>
    </cfRule>
  </conditionalFormatting>
  <conditionalFormatting sqref="A28:S28 AQ28:IV28 U28:AO28">
    <cfRule type="expression" dxfId="232" priority="11" stopIfTrue="1">
      <formula>$AE$4&lt;8</formula>
    </cfRule>
  </conditionalFormatting>
  <conditionalFormatting sqref="A27:AO27 AQ27:IV27">
    <cfRule type="expression" dxfId="231" priority="10" stopIfTrue="1">
      <formula>$AE$4&lt;7</formula>
    </cfRule>
  </conditionalFormatting>
  <conditionalFormatting sqref="A26:AO26 AQ26:IV26">
    <cfRule type="expression" dxfId="230" priority="9" stopIfTrue="1">
      <formula>$AE$4&lt;6</formula>
    </cfRule>
  </conditionalFormatting>
  <conditionalFormatting sqref="A25:S25 AQ25:IV25 U25:AO25">
    <cfRule type="expression" dxfId="229" priority="8" stopIfTrue="1">
      <formula>$AE$4&lt;5</formula>
    </cfRule>
  </conditionalFormatting>
  <conditionalFormatting sqref="A24:S24 U24:IV24">
    <cfRule type="expression" dxfId="228" priority="7" stopIfTrue="1">
      <formula>$AE$4&lt;4</formula>
    </cfRule>
  </conditionalFormatting>
  <conditionalFormatting sqref="A23:AO23 AQ23:IV23">
    <cfRule type="expression" dxfId="227" priority="6" stopIfTrue="1">
      <formula>$AE$4&lt;3</formula>
    </cfRule>
  </conditionalFormatting>
  <conditionalFormatting sqref="T24">
    <cfRule type="expression" dxfId="226" priority="3" stopIfTrue="1">
      <formula>$AE$4&lt;7</formula>
    </cfRule>
  </conditionalFormatting>
  <conditionalFormatting sqref="T25">
    <cfRule type="expression" dxfId="225" priority="2" stopIfTrue="1">
      <formula>$AE$4&lt;8</formula>
    </cfRule>
  </conditionalFormatting>
  <conditionalFormatting sqref="T28">
    <cfRule type="expression" dxfId="224" priority="1" stopIfTrue="1">
      <formula>$AE$4&lt;7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BU242"/>
  <sheetViews>
    <sheetView topLeftCell="C209" zoomScale="87" zoomScaleNormal="87" workbookViewId="0">
      <selection activeCell="C4" sqref="C4"/>
    </sheetView>
  </sheetViews>
  <sheetFormatPr baseColWidth="10" defaultRowHeight="15"/>
  <cols>
    <col min="1" max="1" width="6" style="4" hidden="1" customWidth="1"/>
    <col min="2" max="2" width="12.7109375" style="4" hidden="1" customWidth="1"/>
    <col min="3" max="3" width="8.28515625" style="5" bestFit="1" customWidth="1"/>
    <col min="4" max="4" width="9.42578125" style="6" bestFit="1" customWidth="1"/>
    <col min="5" max="5" width="6.28515625" style="6" bestFit="1" customWidth="1"/>
    <col min="6" max="6" width="8" style="6" bestFit="1" customWidth="1"/>
    <col min="7" max="7" width="21.42578125" style="8" bestFit="1" customWidth="1"/>
    <col min="8" max="8" width="3.85546875" style="8" hidden="1" customWidth="1"/>
    <col min="9" max="9" width="3.28515625" style="8" bestFit="1" customWidth="1"/>
    <col min="10" max="10" width="3.85546875" style="8" hidden="1" customWidth="1"/>
    <col min="11" max="11" width="21.42578125" style="8" bestFit="1" customWidth="1"/>
    <col min="12" max="12" width="3.85546875" style="8" hidden="1" customWidth="1"/>
    <col min="13" max="13" width="21.42578125" style="8" bestFit="1" customWidth="1"/>
    <col min="14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20" width="4.7109375" style="5" customWidth="1"/>
    <col min="21" max="21" width="1.140625" style="5" customWidth="1"/>
    <col min="22" max="22" width="4.7109375" style="5" customWidth="1"/>
    <col min="23" max="23" width="1.28515625" style="4" customWidth="1"/>
    <col min="24" max="24" width="4.7109375" style="5" customWidth="1"/>
    <col min="25" max="25" width="1.140625" style="5" customWidth="1"/>
    <col min="26" max="26" width="4.7109375" style="5" customWidth="1"/>
    <col min="27" max="27" width="1.5703125" style="34" customWidth="1"/>
    <col min="28" max="28" width="4.7109375" style="34" customWidth="1"/>
    <col min="29" max="29" width="1.140625" style="34" customWidth="1"/>
    <col min="30" max="30" width="4.7109375" style="34" customWidth="1"/>
    <col min="31" max="31" width="1.5703125" style="34" customWidth="1"/>
    <col min="32" max="32" width="5.5703125" style="34" customWidth="1"/>
    <col min="33" max="33" width="1.140625" style="34" customWidth="1"/>
    <col min="34" max="34" width="5.5703125" style="34" customWidth="1"/>
    <col min="35" max="37" width="19.42578125" style="4" hidden="1" customWidth="1"/>
    <col min="38" max="38" width="10.5703125" style="4" hidden="1" customWidth="1"/>
    <col min="39" max="39" width="9" style="4" hidden="1" customWidth="1"/>
    <col min="40" max="40" width="11.140625" style="4" hidden="1" customWidth="1"/>
    <col min="41" max="41" width="7.7109375" style="4" hidden="1" customWidth="1"/>
    <col min="42" max="42" width="5.140625" style="4" hidden="1" customWidth="1"/>
    <col min="43" max="43" width="6.140625" style="4" customWidth="1"/>
    <col min="44" max="72" width="11.42578125" style="4" customWidth="1"/>
    <col min="73" max="16384" width="11.42578125" style="4"/>
  </cols>
  <sheetData>
    <row r="1" spans="1:73" ht="39" customHeight="1">
      <c r="F1" s="396">
        <f>Platzierung!U4</f>
        <v>0</v>
      </c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</row>
    <row r="2" spans="1:73" ht="27" customHeight="1">
      <c r="F2" s="396">
        <f>Platzierung!U6</f>
        <v>0</v>
      </c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</row>
    <row r="3" spans="1:73" ht="25.9" customHeight="1">
      <c r="F3" s="400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34"/>
      <c r="AE3" s="342"/>
      <c r="AF3" s="342"/>
      <c r="AG3" s="342"/>
    </row>
    <row r="4" spans="1:73" s="17" customFormat="1" ht="20.25">
      <c r="C4" s="14"/>
      <c r="D4" s="15"/>
      <c r="E4" s="15"/>
      <c r="F4" s="16" t="s">
        <v>79</v>
      </c>
      <c r="I4" s="16"/>
      <c r="J4" s="16"/>
      <c r="K4" s="362" t="s">
        <v>145</v>
      </c>
      <c r="L4" s="362"/>
      <c r="M4" s="363" t="s">
        <v>146</v>
      </c>
      <c r="N4" s="14"/>
      <c r="O4" s="14"/>
      <c r="P4" s="364" t="s">
        <v>147</v>
      </c>
      <c r="Q4" s="14"/>
      <c r="R4" s="14"/>
      <c r="S4" s="14"/>
      <c r="T4" s="14"/>
      <c r="U4" s="14"/>
      <c r="V4" s="14"/>
      <c r="W4" s="35"/>
      <c r="X4" s="378" t="s">
        <v>151</v>
      </c>
      <c r="Y4" s="35"/>
      <c r="Z4" s="35"/>
      <c r="AA4" s="35"/>
      <c r="AB4" s="35"/>
      <c r="AC4" s="35"/>
      <c r="AD4" s="35"/>
      <c r="AE4" s="54"/>
      <c r="AF4" s="35"/>
      <c r="AG4" s="35"/>
      <c r="AH4" s="35"/>
    </row>
    <row r="5" spans="1:73" s="30" customFormat="1" ht="15.75">
      <c r="A5" s="147" t="s">
        <v>13</v>
      </c>
      <c r="B5" s="9" t="s">
        <v>83</v>
      </c>
      <c r="C5" s="25" t="s">
        <v>8</v>
      </c>
      <c r="D5" s="26" t="s">
        <v>4</v>
      </c>
      <c r="E5" s="26" t="s">
        <v>3</v>
      </c>
      <c r="F5" s="26" t="s">
        <v>13</v>
      </c>
      <c r="G5" s="27" t="s">
        <v>7</v>
      </c>
      <c r="H5" s="343" t="s">
        <v>24</v>
      </c>
      <c r="I5" s="28"/>
      <c r="J5" s="344" t="s">
        <v>25</v>
      </c>
      <c r="K5" s="27" t="s">
        <v>6</v>
      </c>
      <c r="L5" s="343" t="s">
        <v>76</v>
      </c>
      <c r="M5" s="29" t="s">
        <v>5</v>
      </c>
      <c r="N5" s="399" t="s">
        <v>29</v>
      </c>
      <c r="O5" s="399"/>
      <c r="P5" s="399"/>
      <c r="Q5" s="399" t="s">
        <v>30</v>
      </c>
      <c r="R5" s="399"/>
      <c r="S5" s="399"/>
      <c r="T5" s="399" t="s">
        <v>31</v>
      </c>
      <c r="U5" s="399"/>
      <c r="V5" s="399"/>
      <c r="W5" s="36"/>
      <c r="X5" s="398" t="s">
        <v>2</v>
      </c>
      <c r="Y5" s="398"/>
      <c r="Z5" s="398"/>
      <c r="AA5" s="36"/>
      <c r="AB5" s="398" t="s">
        <v>32</v>
      </c>
      <c r="AC5" s="398"/>
      <c r="AD5" s="398"/>
      <c r="AE5" s="55"/>
      <c r="AF5" s="398" t="s">
        <v>28</v>
      </c>
      <c r="AG5" s="398"/>
      <c r="AH5" s="398"/>
      <c r="BU5" s="365" t="s">
        <v>135</v>
      </c>
    </row>
    <row r="6" spans="1:73" ht="15.75">
      <c r="A6" s="148">
        <f>F6</f>
        <v>1</v>
      </c>
      <c r="B6" s="149" t="str">
        <f>K$4</f>
        <v>00.00.2018</v>
      </c>
      <c r="C6" s="366">
        <v>0.39583333333333331</v>
      </c>
      <c r="D6" s="353">
        <v>1</v>
      </c>
      <c r="E6" s="354">
        <v>1</v>
      </c>
      <c r="F6" s="354">
        <f>IF(H6&lt;21,COUNTIF(H$6:H6,"&lt;21"),"")</f>
        <v>1</v>
      </c>
      <c r="G6" s="355" t="str">
        <f>IF(H6=21,"",INDEX($AM$7:$AN$27,H6,2))</f>
        <v>Team 1</v>
      </c>
      <c r="H6" s="343">
        <v>1</v>
      </c>
      <c r="I6" s="29" t="s">
        <v>16</v>
      </c>
      <c r="J6" s="343">
        <v>2</v>
      </c>
      <c r="K6" s="355" t="str">
        <f>IF(J6=21,"",INDEX($AM$7:$AN$27,J6,2))</f>
        <v>Team 2</v>
      </c>
      <c r="L6" s="343">
        <v>3</v>
      </c>
      <c r="M6" s="355" t="str">
        <f>IF(L6=21,"",INDEX($AM$7:$AN$27,L6,2))</f>
        <v>Team 3</v>
      </c>
      <c r="N6" s="357"/>
      <c r="O6" s="358" t="s">
        <v>0</v>
      </c>
      <c r="P6" s="357"/>
      <c r="Q6" s="357"/>
      <c r="R6" s="358" t="s">
        <v>0</v>
      </c>
      <c r="S6" s="357"/>
      <c r="T6" s="357"/>
      <c r="U6" s="358" t="s">
        <v>0</v>
      </c>
      <c r="V6" s="357"/>
      <c r="W6" s="359"/>
      <c r="X6" s="359" t="str">
        <f>IF(N6+P6&gt;0,IF(AB6&gt;0,IF(AB6&gt;AD6,2,IF(AB6&lt;AD6,0,1)),0),"")</f>
        <v/>
      </c>
      <c r="Y6" s="358" t="s">
        <v>0</v>
      </c>
      <c r="Z6" s="359" t="str">
        <f>IF(N6+P6&gt;0,IF(AD6&gt;0,IF(AD6&gt;AB6,2,IF(AD6&lt;AB6,0,1)),0),"")</f>
        <v/>
      </c>
      <c r="AA6" s="359"/>
      <c r="AB6" s="359" t="str">
        <f>IF(N6+P6&gt;0,IF(N6&gt;P6,1,0)+IF(Q6&gt;S6,1,0)+IF(T6&gt;V6,1,0),"")</f>
        <v/>
      </c>
      <c r="AC6" s="358" t="s">
        <v>0</v>
      </c>
      <c r="AD6" s="359" t="str">
        <f>IF(N6+P6&gt;0,IF(N6&lt;P6,1,0)+IF(Q6&lt;S6,1,0)+IF(T6&lt;V6,1,0),"")</f>
        <v/>
      </c>
      <c r="AE6" s="360"/>
      <c r="AF6" s="359" t="str">
        <f>IF(N6+P6&gt;0,N6+Q6+T6,"")</f>
        <v/>
      </c>
      <c r="AG6" s="358" t="s">
        <v>0</v>
      </c>
      <c r="AH6" s="359" t="str">
        <f>IF(N6+P6&gt;0,P6+S6+V6,"")</f>
        <v/>
      </c>
      <c r="AJ6" s="4" t="str">
        <f>M$4</f>
        <v>Ort</v>
      </c>
      <c r="AM6" s="30"/>
      <c r="AN6" s="30"/>
      <c r="AQ6" s="4" t="s">
        <v>134</v>
      </c>
      <c r="AR6" s="4" t="str">
        <f>Platzierung!T27</f>
        <v>Team 7</v>
      </c>
      <c r="BU6" s="4" t="str">
        <f>Platzierung!T21</f>
        <v>Team 1</v>
      </c>
    </row>
    <row r="7" spans="1:73" ht="15.75">
      <c r="A7" s="148">
        <f t="shared" ref="A7:A35" si="0">F7</f>
        <v>2</v>
      </c>
      <c r="B7" s="149" t="str">
        <f t="shared" ref="B7:B29" si="1">K$4</f>
        <v>00.00.2018</v>
      </c>
      <c r="C7" s="40" t="s">
        <v>75</v>
      </c>
      <c r="D7" s="41">
        <v>2</v>
      </c>
      <c r="E7" s="3">
        <v>1</v>
      </c>
      <c r="F7" s="3">
        <f>IF(H7&lt;21,COUNTIF(H$6:H7,"&lt;21"),"")</f>
        <v>2</v>
      </c>
      <c r="G7" s="7" t="str">
        <f>IF(H7=21,"",INDEX($AM$7:$AN$27,H7,2))</f>
        <v>Team 2</v>
      </c>
      <c r="H7" s="343">
        <v>2</v>
      </c>
      <c r="I7" s="29" t="s">
        <v>16</v>
      </c>
      <c r="J7" s="343">
        <v>3</v>
      </c>
      <c r="K7" s="7" t="str">
        <f t="shared" ref="K7:K35" si="2">IF(J7=21,"",INDEX($AM$7:$AN$27,J7,2))</f>
        <v>Team 3</v>
      </c>
      <c r="L7" s="343">
        <v>1</v>
      </c>
      <c r="M7" s="7" t="str">
        <f t="shared" ref="M7:M35" si="3">IF(L7=21,"",INDEX($AM$7:$AN$27,L7,2))</f>
        <v>Team 1</v>
      </c>
      <c r="N7" s="38"/>
      <c r="O7" s="39" t="s">
        <v>0</v>
      </c>
      <c r="P7" s="38"/>
      <c r="Q7" s="38"/>
      <c r="R7" s="39" t="s">
        <v>0</v>
      </c>
      <c r="S7" s="38"/>
      <c r="T7" s="38"/>
      <c r="U7" s="39" t="s">
        <v>0</v>
      </c>
      <c r="V7" s="38"/>
      <c r="W7" s="37"/>
      <c r="X7" s="37" t="str">
        <f t="shared" ref="X7:X35" si="4">IF(N7+P7&gt;0,IF(AB7&gt;0,IF(AB7&gt;AD7,2,IF(AB7&lt;AD7,0,1)),0),"")</f>
        <v/>
      </c>
      <c r="Y7" s="39" t="s">
        <v>0</v>
      </c>
      <c r="Z7" s="37" t="str">
        <f t="shared" ref="Z7:Z35" si="5">IF(N7+P7&gt;0,IF(AD7&gt;0,IF(AD7&gt;AB7,2,IF(AD7&lt;AB7,0,1)),0),"")</f>
        <v/>
      </c>
      <c r="AA7" s="37"/>
      <c r="AB7" s="37" t="str">
        <f t="shared" ref="AB7:AB35" si="6">IF(N7+P7&gt;0,IF(N7&gt;P7,1,0)+IF(Q7&gt;S7,1,0)+IF(T7&gt;V7,1,0),"")</f>
        <v/>
      </c>
      <c r="AC7" s="39" t="s">
        <v>0</v>
      </c>
      <c r="AD7" s="37" t="str">
        <f t="shared" ref="AD7:AD35" si="7">IF(N7+P7&gt;0,IF(N7&lt;P7,1,0)+IF(Q7&lt;S7,1,0)+IF(T7&lt;V7,1,0),"")</f>
        <v/>
      </c>
      <c r="AE7" s="56"/>
      <c r="AF7" s="37" t="str">
        <f t="shared" ref="AF7:AF35" si="8">IF(N7+P7&gt;0,N7+Q7+T7,"")</f>
        <v/>
      </c>
      <c r="AG7" s="39" t="s">
        <v>0</v>
      </c>
      <c r="AH7" s="37" t="str">
        <f t="shared" ref="AH7:AH35" si="9">IF(N7+P7&gt;0,P7+S7+V7,"")</f>
        <v/>
      </c>
      <c r="AJ7" s="4" t="str">
        <f t="shared" ref="AJ7:AJ35" si="10">M$4</f>
        <v>Ort</v>
      </c>
      <c r="AM7" s="4">
        <v>1</v>
      </c>
      <c r="AN7" s="4" t="str">
        <f>Platzierung!T21</f>
        <v>Team 1</v>
      </c>
      <c r="AQ7" s="4" t="s">
        <v>134</v>
      </c>
      <c r="AR7" s="4" t="str">
        <f>Platzierung!T28</f>
        <v>Team 8</v>
      </c>
      <c r="BU7" s="4" t="str">
        <f>Platzierung!T22</f>
        <v>Team 2</v>
      </c>
    </row>
    <row r="8" spans="1:73" ht="15.75">
      <c r="A8" s="148">
        <f t="shared" si="0"/>
        <v>3</v>
      </c>
      <c r="B8" s="149" t="str">
        <f t="shared" si="1"/>
        <v>00.00.2018</v>
      </c>
      <c r="C8" s="352" t="s">
        <v>75</v>
      </c>
      <c r="D8" s="353">
        <v>3</v>
      </c>
      <c r="E8" s="354">
        <v>1</v>
      </c>
      <c r="F8" s="354">
        <f>IF(H8&lt;21,COUNTIF(H$6:H8,"&lt;21"),"")</f>
        <v>3</v>
      </c>
      <c r="G8" s="355" t="str">
        <f t="shared" ref="G8:G35" si="11">IF(H8=21,"",INDEX($AM$7:$AN$27,H8,2))</f>
        <v>Team 1</v>
      </c>
      <c r="H8" s="343">
        <v>1</v>
      </c>
      <c r="I8" s="29" t="s">
        <v>16</v>
      </c>
      <c r="J8" s="343">
        <v>3</v>
      </c>
      <c r="K8" s="355" t="str">
        <f t="shared" si="2"/>
        <v>Team 3</v>
      </c>
      <c r="L8" s="343">
        <v>2</v>
      </c>
      <c r="M8" s="355" t="str">
        <f t="shared" si="3"/>
        <v>Team 2</v>
      </c>
      <c r="N8" s="357"/>
      <c r="O8" s="358" t="s">
        <v>0</v>
      </c>
      <c r="P8" s="357"/>
      <c r="Q8" s="357"/>
      <c r="R8" s="358" t="s">
        <v>0</v>
      </c>
      <c r="S8" s="357"/>
      <c r="T8" s="357"/>
      <c r="U8" s="358" t="s">
        <v>0</v>
      </c>
      <c r="V8" s="357"/>
      <c r="W8" s="359"/>
      <c r="X8" s="359" t="str">
        <f t="shared" si="4"/>
        <v/>
      </c>
      <c r="Y8" s="358" t="s">
        <v>0</v>
      </c>
      <c r="Z8" s="359" t="str">
        <f t="shared" si="5"/>
        <v/>
      </c>
      <c r="AA8" s="359"/>
      <c r="AB8" s="359" t="str">
        <f t="shared" si="6"/>
        <v/>
      </c>
      <c r="AC8" s="358" t="s">
        <v>0</v>
      </c>
      <c r="AD8" s="359" t="str">
        <f t="shared" si="7"/>
        <v/>
      </c>
      <c r="AE8" s="360"/>
      <c r="AF8" s="359" t="str">
        <f t="shared" si="8"/>
        <v/>
      </c>
      <c r="AG8" s="358" t="s">
        <v>0</v>
      </c>
      <c r="AH8" s="359" t="str">
        <f t="shared" si="9"/>
        <v/>
      </c>
      <c r="AJ8" s="4" t="str">
        <f t="shared" si="10"/>
        <v>Ort</v>
      </c>
      <c r="AM8" s="4">
        <v>2</v>
      </c>
      <c r="AN8" s="4" t="str">
        <f>Platzierung!T22</f>
        <v>Team 2</v>
      </c>
      <c r="AQ8" s="4" t="s">
        <v>134</v>
      </c>
      <c r="AR8" s="4" t="str">
        <f>Platzierung!T29</f>
        <v>Team 9</v>
      </c>
    </row>
    <row r="9" spans="1:73" ht="15.75">
      <c r="A9" s="148">
        <f t="shared" si="0"/>
        <v>4</v>
      </c>
      <c r="B9" s="149" t="str">
        <f t="shared" si="1"/>
        <v>00.00.2018</v>
      </c>
      <c r="C9" s="40" t="s">
        <v>75</v>
      </c>
      <c r="D9" s="41">
        <v>4</v>
      </c>
      <c r="E9" s="3">
        <v>1</v>
      </c>
      <c r="F9" s="3">
        <f>IF(H9&lt;21,COUNTIF(H$6:H9,"&lt;21"),"")</f>
        <v>4</v>
      </c>
      <c r="G9" s="7" t="str">
        <f t="shared" si="11"/>
        <v>Team 2</v>
      </c>
      <c r="H9" s="343">
        <v>2</v>
      </c>
      <c r="I9" s="29" t="s">
        <v>16</v>
      </c>
      <c r="J9" s="343">
        <v>5</v>
      </c>
      <c r="K9" s="7" t="str">
        <f t="shared" si="2"/>
        <v>Team 5</v>
      </c>
      <c r="L9" s="343">
        <v>3</v>
      </c>
      <c r="M9" s="7" t="str">
        <f t="shared" si="3"/>
        <v>Team 3</v>
      </c>
      <c r="N9" s="38"/>
      <c r="O9" s="39" t="s">
        <v>0</v>
      </c>
      <c r="P9" s="38"/>
      <c r="Q9" s="38"/>
      <c r="R9" s="39" t="s">
        <v>0</v>
      </c>
      <c r="S9" s="38"/>
      <c r="T9" s="38"/>
      <c r="U9" s="39" t="s">
        <v>0</v>
      </c>
      <c r="V9" s="38"/>
      <c r="W9" s="37"/>
      <c r="X9" s="37" t="str">
        <f t="shared" si="4"/>
        <v/>
      </c>
      <c r="Y9" s="39" t="s">
        <v>0</v>
      </c>
      <c r="Z9" s="37" t="str">
        <f t="shared" si="5"/>
        <v/>
      </c>
      <c r="AA9" s="37"/>
      <c r="AB9" s="37" t="str">
        <f t="shared" si="6"/>
        <v/>
      </c>
      <c r="AC9" s="39" t="s">
        <v>0</v>
      </c>
      <c r="AD9" s="37" t="str">
        <f t="shared" si="7"/>
        <v/>
      </c>
      <c r="AE9" s="56"/>
      <c r="AF9" s="37" t="str">
        <f t="shared" si="8"/>
        <v/>
      </c>
      <c r="AG9" s="39" t="s">
        <v>0</v>
      </c>
      <c r="AH9" s="37" t="str">
        <f t="shared" si="9"/>
        <v/>
      </c>
      <c r="AJ9" s="4" t="str">
        <f t="shared" si="10"/>
        <v>Ort</v>
      </c>
      <c r="AM9" s="4">
        <v>3</v>
      </c>
      <c r="AN9" s="4" t="str">
        <f>Platzierung!T23</f>
        <v>Team 3</v>
      </c>
    </row>
    <row r="10" spans="1:73" ht="15.75">
      <c r="A10" s="148">
        <f t="shared" si="0"/>
        <v>5</v>
      </c>
      <c r="B10" s="149" t="str">
        <f t="shared" si="1"/>
        <v>00.00.2018</v>
      </c>
      <c r="C10" s="352" t="s">
        <v>75</v>
      </c>
      <c r="D10" s="353">
        <v>5</v>
      </c>
      <c r="E10" s="354">
        <v>1</v>
      </c>
      <c r="F10" s="354">
        <f>IF(H10&lt;21,COUNTIF(H$6:H10,"&lt;21"),"")</f>
        <v>5</v>
      </c>
      <c r="G10" s="355" t="str">
        <f t="shared" si="11"/>
        <v>Team 3</v>
      </c>
      <c r="H10" s="343">
        <v>3</v>
      </c>
      <c r="I10" s="29" t="s">
        <v>16</v>
      </c>
      <c r="J10" s="343">
        <v>4</v>
      </c>
      <c r="K10" s="355" t="str">
        <f t="shared" si="2"/>
        <v>Team 4</v>
      </c>
      <c r="L10" s="343">
        <v>1</v>
      </c>
      <c r="M10" s="355" t="str">
        <f t="shared" si="3"/>
        <v>Team 1</v>
      </c>
      <c r="N10" s="357"/>
      <c r="O10" s="358" t="s">
        <v>0</v>
      </c>
      <c r="P10" s="357"/>
      <c r="Q10" s="357"/>
      <c r="R10" s="358" t="s">
        <v>0</v>
      </c>
      <c r="S10" s="357"/>
      <c r="T10" s="357"/>
      <c r="U10" s="358" t="s">
        <v>0</v>
      </c>
      <c r="V10" s="357"/>
      <c r="W10" s="359"/>
      <c r="X10" s="359" t="str">
        <f t="shared" si="4"/>
        <v/>
      </c>
      <c r="Y10" s="358" t="s">
        <v>0</v>
      </c>
      <c r="Z10" s="359" t="str">
        <f t="shared" si="5"/>
        <v/>
      </c>
      <c r="AA10" s="359"/>
      <c r="AB10" s="359" t="str">
        <f t="shared" si="6"/>
        <v/>
      </c>
      <c r="AC10" s="358" t="s">
        <v>0</v>
      </c>
      <c r="AD10" s="359" t="str">
        <f t="shared" si="7"/>
        <v/>
      </c>
      <c r="AE10" s="360"/>
      <c r="AF10" s="359" t="str">
        <f t="shared" si="8"/>
        <v/>
      </c>
      <c r="AG10" s="358" t="s">
        <v>0</v>
      </c>
      <c r="AH10" s="359" t="str">
        <f t="shared" si="9"/>
        <v/>
      </c>
      <c r="AJ10" s="4" t="str">
        <f t="shared" si="10"/>
        <v>Ort</v>
      </c>
      <c r="AM10" s="4">
        <v>4</v>
      </c>
      <c r="AN10" s="4" t="str">
        <f>Platzierung!T24</f>
        <v>Team 4</v>
      </c>
    </row>
    <row r="11" spans="1:73" ht="15.75">
      <c r="A11" s="148">
        <f t="shared" si="0"/>
        <v>6</v>
      </c>
      <c r="B11" s="149" t="str">
        <f t="shared" si="1"/>
        <v>00.00.2018</v>
      </c>
      <c r="C11" s="40" t="s">
        <v>75</v>
      </c>
      <c r="D11" s="41">
        <v>6</v>
      </c>
      <c r="E11" s="3">
        <v>1</v>
      </c>
      <c r="F11" s="3">
        <f>IF(H11&lt;21,COUNTIF(H$6:H11,"&lt;21"),"")</f>
        <v>6</v>
      </c>
      <c r="G11" s="7" t="str">
        <f t="shared" si="11"/>
        <v>Team 1</v>
      </c>
      <c r="H11" s="343">
        <v>1</v>
      </c>
      <c r="I11" s="29" t="s">
        <v>16</v>
      </c>
      <c r="J11" s="343">
        <v>4</v>
      </c>
      <c r="K11" s="7" t="str">
        <f t="shared" si="2"/>
        <v>Team 4</v>
      </c>
      <c r="L11" s="343">
        <v>5</v>
      </c>
      <c r="M11" s="7" t="str">
        <f t="shared" si="3"/>
        <v>Team 5</v>
      </c>
      <c r="N11" s="38"/>
      <c r="O11" s="39" t="s">
        <v>0</v>
      </c>
      <c r="P11" s="38"/>
      <c r="Q11" s="38"/>
      <c r="R11" s="39" t="s">
        <v>0</v>
      </c>
      <c r="S11" s="38"/>
      <c r="T11" s="38"/>
      <c r="U11" s="39" t="s">
        <v>0</v>
      </c>
      <c r="V11" s="38"/>
      <c r="W11" s="37"/>
      <c r="X11" s="37" t="str">
        <f t="shared" si="4"/>
        <v/>
      </c>
      <c r="Y11" s="39" t="s">
        <v>0</v>
      </c>
      <c r="Z11" s="37" t="str">
        <f t="shared" si="5"/>
        <v/>
      </c>
      <c r="AA11" s="37"/>
      <c r="AB11" s="37" t="str">
        <f t="shared" si="6"/>
        <v/>
      </c>
      <c r="AC11" s="39" t="s">
        <v>0</v>
      </c>
      <c r="AD11" s="37" t="str">
        <f t="shared" si="7"/>
        <v/>
      </c>
      <c r="AE11" s="56"/>
      <c r="AF11" s="37" t="str">
        <f t="shared" si="8"/>
        <v/>
      </c>
      <c r="AG11" s="39" t="s">
        <v>0</v>
      </c>
      <c r="AH11" s="37" t="str">
        <f t="shared" si="9"/>
        <v/>
      </c>
      <c r="AJ11" s="4" t="str">
        <f t="shared" si="10"/>
        <v>Ort</v>
      </c>
      <c r="AM11" s="4">
        <v>5</v>
      </c>
      <c r="AN11" s="4" t="str">
        <f>Platzierung!T25</f>
        <v>Team 5</v>
      </c>
    </row>
    <row r="12" spans="1:73" ht="15.75">
      <c r="A12" s="148">
        <f t="shared" si="0"/>
        <v>7</v>
      </c>
      <c r="B12" s="149" t="str">
        <f t="shared" si="1"/>
        <v>00.00.2018</v>
      </c>
      <c r="C12" s="352" t="s">
        <v>75</v>
      </c>
      <c r="D12" s="353">
        <v>7</v>
      </c>
      <c r="E12" s="354">
        <v>1</v>
      </c>
      <c r="F12" s="354">
        <f>IF(H12&lt;21,COUNTIF(H$6:H12,"&lt;21"),"")</f>
        <v>7</v>
      </c>
      <c r="G12" s="355" t="str">
        <f t="shared" si="11"/>
        <v>Team 3</v>
      </c>
      <c r="H12" s="356">
        <v>3</v>
      </c>
      <c r="I12" s="379" t="s">
        <v>16</v>
      </c>
      <c r="J12" s="356">
        <v>6</v>
      </c>
      <c r="K12" s="355" t="str">
        <f t="shared" si="2"/>
        <v>Team 6</v>
      </c>
      <c r="L12" s="356">
        <v>4</v>
      </c>
      <c r="M12" s="355" t="str">
        <f t="shared" si="3"/>
        <v>Team 4</v>
      </c>
      <c r="N12" s="357"/>
      <c r="O12" s="358" t="s">
        <v>0</v>
      </c>
      <c r="P12" s="357"/>
      <c r="Q12" s="357"/>
      <c r="R12" s="358" t="s">
        <v>0</v>
      </c>
      <c r="S12" s="357"/>
      <c r="T12" s="357"/>
      <c r="U12" s="358" t="s">
        <v>0</v>
      </c>
      <c r="V12" s="357"/>
      <c r="W12" s="359"/>
      <c r="X12" s="359" t="str">
        <f t="shared" si="4"/>
        <v/>
      </c>
      <c r="Y12" s="358" t="s">
        <v>0</v>
      </c>
      <c r="Z12" s="359" t="str">
        <f t="shared" si="5"/>
        <v/>
      </c>
      <c r="AA12" s="359"/>
      <c r="AB12" s="359" t="str">
        <f t="shared" si="6"/>
        <v/>
      </c>
      <c r="AC12" s="358" t="s">
        <v>0</v>
      </c>
      <c r="AD12" s="359" t="str">
        <f t="shared" si="7"/>
        <v/>
      </c>
      <c r="AE12" s="360"/>
      <c r="AF12" s="359" t="str">
        <f t="shared" si="8"/>
        <v/>
      </c>
      <c r="AG12" s="358" t="s">
        <v>0</v>
      </c>
      <c r="AH12" s="359" t="str">
        <f t="shared" si="9"/>
        <v/>
      </c>
      <c r="AJ12" s="4" t="str">
        <f t="shared" si="10"/>
        <v>Ort</v>
      </c>
      <c r="AM12" s="4">
        <v>6</v>
      </c>
      <c r="AN12" s="4" t="str">
        <f>Platzierung!T26</f>
        <v>Team 6</v>
      </c>
    </row>
    <row r="13" spans="1:73" ht="15.75">
      <c r="A13" s="148">
        <f t="shared" si="0"/>
        <v>8</v>
      </c>
      <c r="B13" s="149" t="str">
        <f t="shared" si="1"/>
        <v>00.00.2018</v>
      </c>
      <c r="C13" s="40" t="s">
        <v>75</v>
      </c>
      <c r="D13" s="41">
        <v>8</v>
      </c>
      <c r="E13" s="3">
        <v>1</v>
      </c>
      <c r="F13" s="3">
        <f>IF(H13&lt;21,COUNTIF(H$6:H13,"&lt;21"),"")</f>
        <v>8</v>
      </c>
      <c r="G13" s="7" t="str">
        <f t="shared" si="11"/>
        <v>Team 4</v>
      </c>
      <c r="H13" s="343">
        <v>4</v>
      </c>
      <c r="I13" s="29" t="s">
        <v>16</v>
      </c>
      <c r="J13" s="343">
        <v>5</v>
      </c>
      <c r="K13" s="7" t="str">
        <f t="shared" si="2"/>
        <v>Team 5</v>
      </c>
      <c r="L13" s="343">
        <v>6</v>
      </c>
      <c r="M13" s="7" t="str">
        <f t="shared" si="3"/>
        <v>Team 6</v>
      </c>
      <c r="N13" s="38"/>
      <c r="O13" s="39" t="s">
        <v>0</v>
      </c>
      <c r="P13" s="38"/>
      <c r="Q13" s="38"/>
      <c r="R13" s="39" t="s">
        <v>0</v>
      </c>
      <c r="S13" s="38"/>
      <c r="T13" s="38"/>
      <c r="U13" s="39" t="s">
        <v>0</v>
      </c>
      <c r="V13" s="38"/>
      <c r="W13" s="37"/>
      <c r="X13" s="37" t="str">
        <f t="shared" si="4"/>
        <v/>
      </c>
      <c r="Y13" s="39" t="s">
        <v>0</v>
      </c>
      <c r="Z13" s="37" t="str">
        <f t="shared" si="5"/>
        <v/>
      </c>
      <c r="AA13" s="37"/>
      <c r="AB13" s="37" t="str">
        <f t="shared" si="6"/>
        <v/>
      </c>
      <c r="AC13" s="39" t="s">
        <v>0</v>
      </c>
      <c r="AD13" s="37" t="str">
        <f t="shared" si="7"/>
        <v/>
      </c>
      <c r="AE13" s="56"/>
      <c r="AF13" s="37" t="str">
        <f t="shared" si="8"/>
        <v/>
      </c>
      <c r="AG13" s="39" t="s">
        <v>0</v>
      </c>
      <c r="AH13" s="37" t="str">
        <f t="shared" si="9"/>
        <v/>
      </c>
      <c r="AJ13" s="4" t="str">
        <f t="shared" si="10"/>
        <v>Ort</v>
      </c>
      <c r="AM13" s="4">
        <v>7</v>
      </c>
      <c r="AN13" s="4" t="str">
        <f>Platzierung!T27</f>
        <v>Team 7</v>
      </c>
    </row>
    <row r="14" spans="1:73" ht="15.75">
      <c r="A14" s="148">
        <f t="shared" si="0"/>
        <v>9</v>
      </c>
      <c r="B14" s="149" t="str">
        <f t="shared" si="1"/>
        <v>00.00.2018</v>
      </c>
      <c r="C14" s="352" t="s">
        <v>75</v>
      </c>
      <c r="D14" s="353">
        <v>9</v>
      </c>
      <c r="E14" s="354">
        <v>1</v>
      </c>
      <c r="F14" s="354">
        <f>IF(H14&lt;21,COUNTIF(H$6:H14,"&lt;21"),"")</f>
        <v>9</v>
      </c>
      <c r="G14" s="355" t="str">
        <f t="shared" si="11"/>
        <v>Team 5</v>
      </c>
      <c r="H14" s="356">
        <v>5</v>
      </c>
      <c r="I14" s="379" t="s">
        <v>16</v>
      </c>
      <c r="J14" s="356">
        <v>6</v>
      </c>
      <c r="K14" s="355" t="str">
        <f t="shared" si="2"/>
        <v>Team 6</v>
      </c>
      <c r="L14" s="343">
        <v>4</v>
      </c>
      <c r="M14" s="355" t="str">
        <f t="shared" si="3"/>
        <v>Team 4</v>
      </c>
      <c r="N14" s="357"/>
      <c r="O14" s="358" t="s">
        <v>0</v>
      </c>
      <c r="P14" s="357"/>
      <c r="Q14" s="357"/>
      <c r="R14" s="358" t="s">
        <v>0</v>
      </c>
      <c r="S14" s="357"/>
      <c r="T14" s="357"/>
      <c r="U14" s="358" t="s">
        <v>0</v>
      </c>
      <c r="V14" s="357"/>
      <c r="W14" s="359"/>
      <c r="X14" s="359" t="str">
        <f t="shared" si="4"/>
        <v/>
      </c>
      <c r="Y14" s="358" t="s">
        <v>0</v>
      </c>
      <c r="Z14" s="359" t="str">
        <f t="shared" si="5"/>
        <v/>
      </c>
      <c r="AA14" s="359"/>
      <c r="AB14" s="359" t="str">
        <f t="shared" si="6"/>
        <v/>
      </c>
      <c r="AC14" s="358" t="s">
        <v>0</v>
      </c>
      <c r="AD14" s="359" t="str">
        <f t="shared" si="7"/>
        <v/>
      </c>
      <c r="AE14" s="360"/>
      <c r="AF14" s="359" t="str">
        <f t="shared" si="8"/>
        <v/>
      </c>
      <c r="AG14" s="358" t="s">
        <v>0</v>
      </c>
      <c r="AH14" s="359" t="str">
        <f t="shared" si="9"/>
        <v/>
      </c>
      <c r="AJ14" s="4" t="str">
        <f t="shared" si="10"/>
        <v>Ort</v>
      </c>
      <c r="AM14" s="4">
        <v>8</v>
      </c>
      <c r="AN14" s="4" t="str">
        <f>Platzierung!T28</f>
        <v>Team 8</v>
      </c>
    </row>
    <row r="15" spans="1:73" ht="15.75">
      <c r="A15" s="148">
        <f t="shared" si="0"/>
        <v>10</v>
      </c>
      <c r="B15" s="149" t="str">
        <f t="shared" si="1"/>
        <v>00.00.2018</v>
      </c>
      <c r="C15" s="40" t="s">
        <v>75</v>
      </c>
      <c r="D15" s="41">
        <v>10</v>
      </c>
      <c r="E15" s="3">
        <v>1</v>
      </c>
      <c r="F15" s="3">
        <f>IF(H15&lt;21,COUNTIF(H$6:H15,"&lt;21"),"")</f>
        <v>10</v>
      </c>
      <c r="G15" s="7" t="str">
        <f t="shared" si="11"/>
        <v>Team 4</v>
      </c>
      <c r="H15" s="343">
        <v>4</v>
      </c>
      <c r="I15" s="29" t="s">
        <v>16</v>
      </c>
      <c r="J15" s="343">
        <v>6</v>
      </c>
      <c r="K15" s="7" t="str">
        <f t="shared" si="2"/>
        <v>Team 6</v>
      </c>
      <c r="L15" s="343">
        <v>5</v>
      </c>
      <c r="M15" s="7" t="str">
        <f t="shared" si="3"/>
        <v>Team 5</v>
      </c>
      <c r="N15" s="38"/>
      <c r="O15" s="39" t="s">
        <v>0</v>
      </c>
      <c r="P15" s="38"/>
      <c r="Q15" s="38"/>
      <c r="R15" s="39" t="s">
        <v>0</v>
      </c>
      <c r="S15" s="38"/>
      <c r="T15" s="38"/>
      <c r="U15" s="39" t="s">
        <v>0</v>
      </c>
      <c r="V15" s="38"/>
      <c r="W15" s="37"/>
      <c r="X15" s="37" t="str">
        <f t="shared" si="4"/>
        <v/>
      </c>
      <c r="Y15" s="39" t="s">
        <v>0</v>
      </c>
      <c r="Z15" s="37" t="str">
        <f t="shared" si="5"/>
        <v/>
      </c>
      <c r="AA15" s="37"/>
      <c r="AB15" s="37" t="str">
        <f t="shared" si="6"/>
        <v/>
      </c>
      <c r="AC15" s="39" t="s">
        <v>0</v>
      </c>
      <c r="AD15" s="37" t="str">
        <f t="shared" si="7"/>
        <v/>
      </c>
      <c r="AE15" s="56"/>
      <c r="AF15" s="37" t="str">
        <f t="shared" si="8"/>
        <v/>
      </c>
      <c r="AG15" s="39" t="s">
        <v>0</v>
      </c>
      <c r="AH15" s="37" t="str">
        <f t="shared" si="9"/>
        <v/>
      </c>
      <c r="AJ15" s="4" t="str">
        <f t="shared" si="10"/>
        <v>Ort</v>
      </c>
      <c r="AM15" s="4">
        <v>9</v>
      </c>
      <c r="AN15" s="4" t="str">
        <f>Platzierung!T29</f>
        <v>Team 9</v>
      </c>
    </row>
    <row r="16" spans="1:73" ht="15.75" hidden="1">
      <c r="A16" s="148" t="str">
        <f t="shared" si="0"/>
        <v/>
      </c>
      <c r="B16" s="149" t="str">
        <f t="shared" si="1"/>
        <v>00.00.2018</v>
      </c>
      <c r="C16" s="352" t="s">
        <v>75</v>
      </c>
      <c r="D16" s="353"/>
      <c r="E16" s="354">
        <v>1</v>
      </c>
      <c r="F16" s="354" t="str">
        <f>IF(H16&lt;21,COUNTIF(H$6:H16,"&lt;21"),"")</f>
        <v/>
      </c>
      <c r="G16" s="7" t="str">
        <f t="shared" si="11"/>
        <v/>
      </c>
      <c r="H16" s="343">
        <v>21</v>
      </c>
      <c r="I16" s="29" t="s">
        <v>16</v>
      </c>
      <c r="J16" s="343">
        <v>21</v>
      </c>
      <c r="K16" s="7" t="str">
        <f t="shared" si="2"/>
        <v/>
      </c>
      <c r="L16" s="356">
        <v>21</v>
      </c>
      <c r="M16" s="355" t="str">
        <f t="shared" si="3"/>
        <v/>
      </c>
      <c r="N16" s="357"/>
      <c r="O16" s="358" t="s">
        <v>0</v>
      </c>
      <c r="P16" s="357"/>
      <c r="Q16" s="357"/>
      <c r="R16" s="358" t="s">
        <v>0</v>
      </c>
      <c r="S16" s="357"/>
      <c r="T16" s="357"/>
      <c r="U16" s="358" t="s">
        <v>0</v>
      </c>
      <c r="V16" s="357"/>
      <c r="W16" s="359"/>
      <c r="X16" s="359" t="str">
        <f t="shared" si="4"/>
        <v/>
      </c>
      <c r="Y16" s="358" t="s">
        <v>0</v>
      </c>
      <c r="Z16" s="359" t="str">
        <f t="shared" si="5"/>
        <v/>
      </c>
      <c r="AA16" s="359"/>
      <c r="AB16" s="359" t="str">
        <f t="shared" si="6"/>
        <v/>
      </c>
      <c r="AC16" s="358" t="s">
        <v>0</v>
      </c>
      <c r="AD16" s="359" t="str">
        <f t="shared" si="7"/>
        <v/>
      </c>
      <c r="AE16" s="360"/>
      <c r="AF16" s="359" t="str">
        <f t="shared" si="8"/>
        <v/>
      </c>
      <c r="AG16" s="358" t="s">
        <v>0</v>
      </c>
      <c r="AH16" s="359" t="str">
        <f t="shared" si="9"/>
        <v/>
      </c>
      <c r="AJ16" s="4" t="str">
        <f t="shared" si="10"/>
        <v>Ort</v>
      </c>
      <c r="AM16" s="4">
        <v>10</v>
      </c>
    </row>
    <row r="17" spans="1:40" ht="15.75" hidden="1">
      <c r="A17" s="148" t="str">
        <f t="shared" si="0"/>
        <v/>
      </c>
      <c r="B17" s="149" t="str">
        <f t="shared" si="1"/>
        <v>00.00.2018</v>
      </c>
      <c r="C17" s="40" t="s">
        <v>75</v>
      </c>
      <c r="D17" s="41"/>
      <c r="E17" s="3">
        <v>1</v>
      </c>
      <c r="F17" s="3" t="str">
        <f>IF(H17&lt;21,COUNTIF(H$6:H17,"&lt;21"),"")</f>
        <v/>
      </c>
      <c r="G17" s="7" t="str">
        <f>IF(H17=21,"",INDEX($AM$7:$AN$27,H17,2))</f>
        <v/>
      </c>
      <c r="H17" s="343">
        <v>21</v>
      </c>
      <c r="I17" s="29" t="s">
        <v>16</v>
      </c>
      <c r="J17" s="343">
        <v>21</v>
      </c>
      <c r="K17" s="7" t="str">
        <f t="shared" si="2"/>
        <v/>
      </c>
      <c r="L17" s="343">
        <v>21</v>
      </c>
      <c r="M17" s="7" t="str">
        <f t="shared" si="3"/>
        <v/>
      </c>
      <c r="N17" s="38"/>
      <c r="O17" s="39" t="s">
        <v>0</v>
      </c>
      <c r="P17" s="38"/>
      <c r="Q17" s="38"/>
      <c r="R17" s="39" t="s">
        <v>0</v>
      </c>
      <c r="S17" s="38"/>
      <c r="T17" s="38"/>
      <c r="U17" s="39" t="s">
        <v>0</v>
      </c>
      <c r="V17" s="38"/>
      <c r="W17" s="37"/>
      <c r="X17" s="37" t="str">
        <f t="shared" si="4"/>
        <v/>
      </c>
      <c r="Y17" s="39" t="s">
        <v>0</v>
      </c>
      <c r="Z17" s="37" t="str">
        <f t="shared" si="5"/>
        <v/>
      </c>
      <c r="AA17" s="37"/>
      <c r="AB17" s="37" t="str">
        <f t="shared" si="6"/>
        <v/>
      </c>
      <c r="AC17" s="39" t="s">
        <v>0</v>
      </c>
      <c r="AD17" s="37" t="str">
        <f t="shared" si="7"/>
        <v/>
      </c>
      <c r="AE17" s="56"/>
      <c r="AF17" s="37" t="str">
        <f t="shared" si="8"/>
        <v/>
      </c>
      <c r="AG17" s="39" t="s">
        <v>0</v>
      </c>
      <c r="AH17" s="37" t="str">
        <f t="shared" si="9"/>
        <v/>
      </c>
      <c r="AJ17" s="4" t="str">
        <f t="shared" si="10"/>
        <v>Ort</v>
      </c>
      <c r="AM17" s="4">
        <v>11</v>
      </c>
    </row>
    <row r="18" spans="1:40" ht="15.75" hidden="1">
      <c r="A18" s="148" t="str">
        <f t="shared" si="0"/>
        <v/>
      </c>
      <c r="B18" s="149" t="str">
        <f t="shared" si="1"/>
        <v>00.00.2018</v>
      </c>
      <c r="C18" s="352" t="s">
        <v>75</v>
      </c>
      <c r="D18" s="353"/>
      <c r="E18" s="354">
        <v>1</v>
      </c>
      <c r="F18" s="354" t="str">
        <f>IF(H18&lt;21,COUNTIF(H$6:H18,"&lt;21"),"")</f>
        <v/>
      </c>
      <c r="G18" s="7" t="str">
        <f t="shared" si="11"/>
        <v/>
      </c>
      <c r="H18" s="343">
        <v>21</v>
      </c>
      <c r="I18" s="29" t="s">
        <v>16</v>
      </c>
      <c r="J18" s="343">
        <v>21</v>
      </c>
      <c r="K18" s="7" t="str">
        <f t="shared" si="2"/>
        <v/>
      </c>
      <c r="L18" s="356">
        <v>21</v>
      </c>
      <c r="M18" s="355" t="str">
        <f t="shared" si="3"/>
        <v/>
      </c>
      <c r="N18" s="357"/>
      <c r="O18" s="358" t="s">
        <v>0</v>
      </c>
      <c r="P18" s="357"/>
      <c r="Q18" s="357"/>
      <c r="R18" s="358" t="s">
        <v>0</v>
      </c>
      <c r="S18" s="357"/>
      <c r="T18" s="357"/>
      <c r="U18" s="358" t="s">
        <v>0</v>
      </c>
      <c r="V18" s="357"/>
      <c r="W18" s="359"/>
      <c r="X18" s="359" t="str">
        <f t="shared" si="4"/>
        <v/>
      </c>
      <c r="Y18" s="358" t="s">
        <v>0</v>
      </c>
      <c r="Z18" s="359" t="str">
        <f t="shared" si="5"/>
        <v/>
      </c>
      <c r="AA18" s="359"/>
      <c r="AB18" s="359" t="str">
        <f t="shared" si="6"/>
        <v/>
      </c>
      <c r="AC18" s="358" t="s">
        <v>0</v>
      </c>
      <c r="AD18" s="359" t="str">
        <f t="shared" si="7"/>
        <v/>
      </c>
      <c r="AE18" s="360"/>
      <c r="AF18" s="359" t="str">
        <f t="shared" si="8"/>
        <v/>
      </c>
      <c r="AG18" s="358" t="s">
        <v>0</v>
      </c>
      <c r="AH18" s="359" t="str">
        <f t="shared" si="9"/>
        <v/>
      </c>
      <c r="AJ18" s="4" t="str">
        <f t="shared" si="10"/>
        <v>Ort</v>
      </c>
      <c r="AM18" s="4">
        <v>12</v>
      </c>
    </row>
    <row r="19" spans="1:40" ht="15.75" hidden="1">
      <c r="A19" s="148" t="str">
        <f t="shared" si="0"/>
        <v/>
      </c>
      <c r="B19" s="149" t="str">
        <f t="shared" si="1"/>
        <v>00.00.2018</v>
      </c>
      <c r="C19" s="40" t="s">
        <v>75</v>
      </c>
      <c r="D19" s="41"/>
      <c r="E19" s="3">
        <v>1</v>
      </c>
      <c r="F19" s="3" t="str">
        <f>IF(H19&lt;21,COUNTIF(H$6:H19,"&lt;21"),"")</f>
        <v/>
      </c>
      <c r="G19" s="7" t="str">
        <f>IF(H19=21,"",INDEX($AM$7:$AN$27,H19,2))</f>
        <v/>
      </c>
      <c r="H19" s="348">
        <v>21</v>
      </c>
      <c r="I19" s="29" t="s">
        <v>16</v>
      </c>
      <c r="J19" s="348">
        <v>21</v>
      </c>
      <c r="K19" s="7" t="str">
        <f t="shared" si="2"/>
        <v/>
      </c>
      <c r="L19" s="348">
        <v>21</v>
      </c>
      <c r="M19" s="7" t="str">
        <f t="shared" si="3"/>
        <v/>
      </c>
      <c r="N19" s="38"/>
      <c r="O19" s="39" t="s">
        <v>0</v>
      </c>
      <c r="P19" s="38"/>
      <c r="Q19" s="38"/>
      <c r="R19" s="39" t="s">
        <v>0</v>
      </c>
      <c r="S19" s="38"/>
      <c r="T19" s="38"/>
      <c r="U19" s="39" t="s">
        <v>0</v>
      </c>
      <c r="V19" s="38"/>
      <c r="W19" s="37"/>
      <c r="X19" s="37" t="str">
        <f t="shared" si="4"/>
        <v/>
      </c>
      <c r="Y19" s="39" t="s">
        <v>0</v>
      </c>
      <c r="Z19" s="37" t="str">
        <f t="shared" si="5"/>
        <v/>
      </c>
      <c r="AA19" s="37"/>
      <c r="AB19" s="37" t="str">
        <f t="shared" si="6"/>
        <v/>
      </c>
      <c r="AC19" s="39" t="s">
        <v>0</v>
      </c>
      <c r="AD19" s="37" t="str">
        <f t="shared" si="7"/>
        <v/>
      </c>
      <c r="AE19" s="56"/>
      <c r="AF19" s="37" t="str">
        <f t="shared" si="8"/>
        <v/>
      </c>
      <c r="AG19" s="39" t="s">
        <v>0</v>
      </c>
      <c r="AH19" s="37" t="str">
        <f t="shared" si="9"/>
        <v/>
      </c>
      <c r="AJ19" s="4" t="str">
        <f t="shared" si="10"/>
        <v>Ort</v>
      </c>
      <c r="AM19" s="4">
        <v>13</v>
      </c>
    </row>
    <row r="20" spans="1:40" ht="15.75" hidden="1">
      <c r="A20" s="148" t="str">
        <f t="shared" si="0"/>
        <v/>
      </c>
      <c r="B20" s="149" t="str">
        <f t="shared" si="1"/>
        <v>00.00.2018</v>
      </c>
      <c r="C20" s="40" t="s">
        <v>75</v>
      </c>
      <c r="D20" s="41"/>
      <c r="E20" s="3">
        <v>1</v>
      </c>
      <c r="F20" s="3" t="str">
        <f>IF(H20&lt;21,COUNTIF(H$6:H20,"&lt;21"),"")</f>
        <v/>
      </c>
      <c r="G20" s="7" t="str">
        <f t="shared" si="11"/>
        <v/>
      </c>
      <c r="H20" s="343">
        <v>21</v>
      </c>
      <c r="I20" s="29" t="s">
        <v>16</v>
      </c>
      <c r="J20" s="343">
        <v>21</v>
      </c>
      <c r="K20" s="7" t="str">
        <f t="shared" si="2"/>
        <v/>
      </c>
      <c r="L20" s="343">
        <v>21</v>
      </c>
      <c r="M20" s="7" t="str">
        <f t="shared" si="3"/>
        <v/>
      </c>
      <c r="N20" s="38"/>
      <c r="O20" s="39" t="s">
        <v>0</v>
      </c>
      <c r="P20" s="38"/>
      <c r="Q20" s="38"/>
      <c r="R20" s="39" t="s">
        <v>0</v>
      </c>
      <c r="S20" s="38"/>
      <c r="T20" s="38"/>
      <c r="U20" s="39" t="s">
        <v>0</v>
      </c>
      <c r="V20" s="38"/>
      <c r="W20" s="37"/>
      <c r="X20" s="37" t="str">
        <f t="shared" si="4"/>
        <v/>
      </c>
      <c r="Y20" s="39" t="s">
        <v>0</v>
      </c>
      <c r="Z20" s="37" t="str">
        <f t="shared" si="5"/>
        <v/>
      </c>
      <c r="AA20" s="37"/>
      <c r="AB20" s="37" t="str">
        <f t="shared" si="6"/>
        <v/>
      </c>
      <c r="AC20" s="39" t="s">
        <v>0</v>
      </c>
      <c r="AD20" s="37" t="str">
        <f t="shared" si="7"/>
        <v/>
      </c>
      <c r="AE20" s="56"/>
      <c r="AF20" s="37" t="str">
        <f t="shared" si="8"/>
        <v/>
      </c>
      <c r="AG20" s="39" t="s">
        <v>0</v>
      </c>
      <c r="AH20" s="37" t="str">
        <f t="shared" si="9"/>
        <v/>
      </c>
      <c r="AJ20" s="4" t="str">
        <f t="shared" si="10"/>
        <v>Ort</v>
      </c>
      <c r="AM20" s="4">
        <v>14</v>
      </c>
    </row>
    <row r="21" spans="1:40" ht="15.75" hidden="1">
      <c r="A21" s="148" t="str">
        <f t="shared" si="0"/>
        <v/>
      </c>
      <c r="B21" s="149" t="str">
        <f t="shared" si="1"/>
        <v>00.00.2018</v>
      </c>
      <c r="C21" s="40" t="s">
        <v>75</v>
      </c>
      <c r="D21" s="41"/>
      <c r="E21" s="3">
        <v>1</v>
      </c>
      <c r="F21" s="3" t="str">
        <f>IF(H21&lt;21,COUNTIF(H$6:H21,"&lt;21"),"")</f>
        <v/>
      </c>
      <c r="G21" s="7" t="str">
        <f t="shared" si="11"/>
        <v/>
      </c>
      <c r="H21" s="343">
        <v>21</v>
      </c>
      <c r="I21" s="29" t="s">
        <v>16</v>
      </c>
      <c r="J21" s="343">
        <v>21</v>
      </c>
      <c r="K21" s="7" t="str">
        <f t="shared" si="2"/>
        <v/>
      </c>
      <c r="L21" s="343">
        <v>21</v>
      </c>
      <c r="M21" s="7" t="str">
        <f t="shared" si="3"/>
        <v/>
      </c>
      <c r="N21" s="38"/>
      <c r="O21" s="39" t="s">
        <v>0</v>
      </c>
      <c r="P21" s="38"/>
      <c r="Q21" s="38"/>
      <c r="R21" s="39" t="s">
        <v>0</v>
      </c>
      <c r="S21" s="38"/>
      <c r="T21" s="38"/>
      <c r="U21" s="39" t="s">
        <v>0</v>
      </c>
      <c r="V21" s="38"/>
      <c r="W21" s="37"/>
      <c r="X21" s="37" t="str">
        <f t="shared" si="4"/>
        <v/>
      </c>
      <c r="Y21" s="39" t="s">
        <v>0</v>
      </c>
      <c r="Z21" s="37" t="str">
        <f t="shared" si="5"/>
        <v/>
      </c>
      <c r="AA21" s="37"/>
      <c r="AB21" s="37" t="str">
        <f t="shared" si="6"/>
        <v/>
      </c>
      <c r="AC21" s="39" t="s">
        <v>0</v>
      </c>
      <c r="AD21" s="37" t="str">
        <f t="shared" si="7"/>
        <v/>
      </c>
      <c r="AE21" s="56"/>
      <c r="AF21" s="37" t="str">
        <f t="shared" si="8"/>
        <v/>
      </c>
      <c r="AG21" s="39" t="s">
        <v>0</v>
      </c>
      <c r="AH21" s="37" t="str">
        <f t="shared" si="9"/>
        <v/>
      </c>
      <c r="AJ21" s="4" t="str">
        <f t="shared" si="10"/>
        <v>Ort</v>
      </c>
      <c r="AM21" s="4">
        <v>15</v>
      </c>
    </row>
    <row r="22" spans="1:40" ht="15.75" hidden="1">
      <c r="A22" s="148" t="str">
        <f t="shared" si="0"/>
        <v/>
      </c>
      <c r="B22" s="149" t="str">
        <f t="shared" si="1"/>
        <v>00.00.2018</v>
      </c>
      <c r="C22" s="40" t="s">
        <v>75</v>
      </c>
      <c r="D22" s="41"/>
      <c r="E22" s="3">
        <v>1</v>
      </c>
      <c r="F22" s="3" t="str">
        <f>IF(H22&lt;21,COUNTIF(H$6:H22,"&lt;21"),"")</f>
        <v/>
      </c>
      <c r="G22" s="7" t="str">
        <f t="shared" si="11"/>
        <v/>
      </c>
      <c r="H22" s="343">
        <v>21</v>
      </c>
      <c r="I22" s="29" t="s">
        <v>16</v>
      </c>
      <c r="J22" s="343">
        <v>21</v>
      </c>
      <c r="K22" s="7" t="str">
        <f t="shared" si="2"/>
        <v/>
      </c>
      <c r="L22" s="343">
        <v>21</v>
      </c>
      <c r="M22" s="7" t="str">
        <f t="shared" si="3"/>
        <v/>
      </c>
      <c r="N22" s="38"/>
      <c r="O22" s="39" t="s">
        <v>0</v>
      </c>
      <c r="P22" s="38"/>
      <c r="Q22" s="38"/>
      <c r="R22" s="39" t="s">
        <v>0</v>
      </c>
      <c r="S22" s="38"/>
      <c r="T22" s="38"/>
      <c r="U22" s="39" t="s">
        <v>0</v>
      </c>
      <c r="V22" s="38"/>
      <c r="W22" s="37"/>
      <c r="X22" s="37" t="str">
        <f t="shared" si="4"/>
        <v/>
      </c>
      <c r="Y22" s="39" t="s">
        <v>0</v>
      </c>
      <c r="Z22" s="37" t="str">
        <f t="shared" si="5"/>
        <v/>
      </c>
      <c r="AA22" s="37"/>
      <c r="AB22" s="37" t="str">
        <f t="shared" si="6"/>
        <v/>
      </c>
      <c r="AC22" s="39" t="s">
        <v>0</v>
      </c>
      <c r="AD22" s="37" t="str">
        <f t="shared" si="7"/>
        <v/>
      </c>
      <c r="AE22" s="56"/>
      <c r="AF22" s="37" t="str">
        <f t="shared" si="8"/>
        <v/>
      </c>
      <c r="AG22" s="39" t="s">
        <v>0</v>
      </c>
      <c r="AH22" s="37" t="str">
        <f t="shared" si="9"/>
        <v/>
      </c>
      <c r="AJ22" s="4" t="str">
        <f t="shared" si="10"/>
        <v>Ort</v>
      </c>
      <c r="AM22" s="4">
        <v>16</v>
      </c>
    </row>
    <row r="23" spans="1:40" ht="15.75" hidden="1">
      <c r="A23" s="148" t="str">
        <f t="shared" si="0"/>
        <v/>
      </c>
      <c r="B23" s="149" t="str">
        <f t="shared" si="1"/>
        <v>00.00.2018</v>
      </c>
      <c r="C23" s="40" t="s">
        <v>75</v>
      </c>
      <c r="D23" s="41"/>
      <c r="E23" s="3">
        <v>1</v>
      </c>
      <c r="F23" s="3" t="str">
        <f>IF(H23&lt;21,COUNTIF(H$6:H23,"&lt;21"),"")</f>
        <v/>
      </c>
      <c r="G23" s="7" t="str">
        <f t="shared" si="11"/>
        <v/>
      </c>
      <c r="H23" s="343">
        <v>21</v>
      </c>
      <c r="I23" s="29" t="s">
        <v>16</v>
      </c>
      <c r="J23" s="343">
        <v>21</v>
      </c>
      <c r="K23" s="7" t="str">
        <f t="shared" si="2"/>
        <v/>
      </c>
      <c r="L23" s="343">
        <v>21</v>
      </c>
      <c r="M23" s="7" t="str">
        <f t="shared" si="3"/>
        <v/>
      </c>
      <c r="N23" s="38"/>
      <c r="O23" s="39" t="s">
        <v>0</v>
      </c>
      <c r="P23" s="38"/>
      <c r="Q23" s="38"/>
      <c r="R23" s="39" t="s">
        <v>0</v>
      </c>
      <c r="S23" s="38"/>
      <c r="T23" s="38"/>
      <c r="U23" s="39" t="s">
        <v>0</v>
      </c>
      <c r="V23" s="38"/>
      <c r="W23" s="37"/>
      <c r="X23" s="37" t="str">
        <f t="shared" si="4"/>
        <v/>
      </c>
      <c r="Y23" s="39" t="s">
        <v>0</v>
      </c>
      <c r="Z23" s="37" t="str">
        <f t="shared" si="5"/>
        <v/>
      </c>
      <c r="AA23" s="37"/>
      <c r="AB23" s="37" t="str">
        <f t="shared" si="6"/>
        <v/>
      </c>
      <c r="AC23" s="39" t="s">
        <v>0</v>
      </c>
      <c r="AD23" s="37" t="str">
        <f t="shared" si="7"/>
        <v/>
      </c>
      <c r="AE23" s="56"/>
      <c r="AF23" s="37" t="str">
        <f t="shared" si="8"/>
        <v/>
      </c>
      <c r="AG23" s="39" t="s">
        <v>0</v>
      </c>
      <c r="AH23" s="37" t="str">
        <f t="shared" si="9"/>
        <v/>
      </c>
      <c r="AJ23" s="4" t="str">
        <f t="shared" si="10"/>
        <v>Ort</v>
      </c>
      <c r="AM23" s="4">
        <v>17</v>
      </c>
    </row>
    <row r="24" spans="1:40" ht="15.75" hidden="1">
      <c r="A24" s="148" t="str">
        <f t="shared" si="0"/>
        <v/>
      </c>
      <c r="B24" s="149" t="str">
        <f t="shared" si="1"/>
        <v>00.00.2018</v>
      </c>
      <c r="C24" s="40" t="s">
        <v>75</v>
      </c>
      <c r="D24" s="41"/>
      <c r="E24" s="3">
        <v>1</v>
      </c>
      <c r="F24" s="3" t="str">
        <f>IF(H24&lt;21,COUNTIF(H$6:H24,"&lt;21"),"")</f>
        <v/>
      </c>
      <c r="G24" s="7" t="str">
        <f t="shared" si="11"/>
        <v/>
      </c>
      <c r="H24" s="343">
        <v>21</v>
      </c>
      <c r="I24" s="29" t="s">
        <v>16</v>
      </c>
      <c r="J24" s="343">
        <v>21</v>
      </c>
      <c r="K24" s="7" t="str">
        <f t="shared" si="2"/>
        <v/>
      </c>
      <c r="L24" s="343">
        <v>21</v>
      </c>
      <c r="M24" s="7" t="str">
        <f t="shared" si="3"/>
        <v/>
      </c>
      <c r="N24" s="38"/>
      <c r="O24" s="39" t="s">
        <v>0</v>
      </c>
      <c r="P24" s="38"/>
      <c r="Q24" s="38"/>
      <c r="R24" s="39" t="s">
        <v>0</v>
      </c>
      <c r="S24" s="38"/>
      <c r="T24" s="38"/>
      <c r="U24" s="39" t="s">
        <v>0</v>
      </c>
      <c r="V24" s="38"/>
      <c r="W24" s="37"/>
      <c r="X24" s="37" t="str">
        <f t="shared" si="4"/>
        <v/>
      </c>
      <c r="Y24" s="39" t="s">
        <v>0</v>
      </c>
      <c r="Z24" s="37" t="str">
        <f t="shared" si="5"/>
        <v/>
      </c>
      <c r="AA24" s="37"/>
      <c r="AB24" s="37" t="str">
        <f t="shared" si="6"/>
        <v/>
      </c>
      <c r="AC24" s="39" t="s">
        <v>0</v>
      </c>
      <c r="AD24" s="37" t="str">
        <f t="shared" si="7"/>
        <v/>
      </c>
      <c r="AE24" s="56"/>
      <c r="AF24" s="37" t="str">
        <f t="shared" si="8"/>
        <v/>
      </c>
      <c r="AG24" s="39" t="s">
        <v>0</v>
      </c>
      <c r="AH24" s="37" t="str">
        <f t="shared" si="9"/>
        <v/>
      </c>
      <c r="AJ24" s="4" t="str">
        <f t="shared" si="10"/>
        <v>Ort</v>
      </c>
      <c r="AM24" s="4">
        <v>18</v>
      </c>
    </row>
    <row r="25" spans="1:40" ht="15.75" hidden="1">
      <c r="A25" s="148" t="str">
        <f t="shared" si="0"/>
        <v/>
      </c>
      <c r="B25" s="149" t="str">
        <f t="shared" si="1"/>
        <v>00.00.2018</v>
      </c>
      <c r="C25" s="40" t="s">
        <v>75</v>
      </c>
      <c r="D25" s="41"/>
      <c r="E25" s="3">
        <v>1</v>
      </c>
      <c r="F25" s="3" t="str">
        <f>IF(H25&lt;21,COUNTIF(H$6:H25,"&lt;21"),"")</f>
        <v/>
      </c>
      <c r="G25" s="7" t="str">
        <f t="shared" si="11"/>
        <v/>
      </c>
      <c r="H25" s="343">
        <v>21</v>
      </c>
      <c r="I25" s="29" t="s">
        <v>16</v>
      </c>
      <c r="J25" s="343">
        <v>21</v>
      </c>
      <c r="K25" s="7" t="str">
        <f t="shared" si="2"/>
        <v/>
      </c>
      <c r="L25" s="343">
        <v>21</v>
      </c>
      <c r="M25" s="7" t="str">
        <f t="shared" si="3"/>
        <v/>
      </c>
      <c r="N25" s="38"/>
      <c r="O25" s="39" t="s">
        <v>0</v>
      </c>
      <c r="P25" s="38"/>
      <c r="Q25" s="38"/>
      <c r="R25" s="39" t="s">
        <v>0</v>
      </c>
      <c r="S25" s="38"/>
      <c r="T25" s="38"/>
      <c r="U25" s="39" t="s">
        <v>0</v>
      </c>
      <c r="V25" s="38"/>
      <c r="W25" s="37"/>
      <c r="X25" s="37" t="str">
        <f t="shared" si="4"/>
        <v/>
      </c>
      <c r="Y25" s="39" t="s">
        <v>0</v>
      </c>
      <c r="Z25" s="37" t="str">
        <f t="shared" si="5"/>
        <v/>
      </c>
      <c r="AA25" s="37"/>
      <c r="AB25" s="37" t="str">
        <f t="shared" si="6"/>
        <v/>
      </c>
      <c r="AC25" s="39" t="s">
        <v>0</v>
      </c>
      <c r="AD25" s="37" t="str">
        <f t="shared" si="7"/>
        <v/>
      </c>
      <c r="AE25" s="56"/>
      <c r="AF25" s="37" t="str">
        <f t="shared" si="8"/>
        <v/>
      </c>
      <c r="AG25" s="39" t="s">
        <v>0</v>
      </c>
      <c r="AH25" s="37" t="str">
        <f t="shared" si="9"/>
        <v/>
      </c>
      <c r="AJ25" s="4" t="str">
        <f t="shared" si="10"/>
        <v>Ort</v>
      </c>
      <c r="AM25" s="4">
        <v>19</v>
      </c>
    </row>
    <row r="26" spans="1:40" ht="15.75" hidden="1">
      <c r="A26" s="148" t="str">
        <f t="shared" si="0"/>
        <v/>
      </c>
      <c r="B26" s="149" t="str">
        <f t="shared" si="1"/>
        <v>00.00.2018</v>
      </c>
      <c r="C26" s="40" t="s">
        <v>75</v>
      </c>
      <c r="D26" s="41"/>
      <c r="E26" s="3">
        <v>1</v>
      </c>
      <c r="F26" s="3" t="str">
        <f>IF(H26&lt;21,COUNTIF(H$6:H26,"&lt;21"),"")</f>
        <v/>
      </c>
      <c r="G26" s="7" t="str">
        <f t="shared" si="11"/>
        <v/>
      </c>
      <c r="H26" s="343">
        <v>21</v>
      </c>
      <c r="I26" s="29" t="s">
        <v>16</v>
      </c>
      <c r="J26" s="343">
        <v>21</v>
      </c>
      <c r="K26" s="7" t="str">
        <f t="shared" si="2"/>
        <v/>
      </c>
      <c r="L26" s="343">
        <v>21</v>
      </c>
      <c r="M26" s="7" t="str">
        <f t="shared" si="3"/>
        <v/>
      </c>
      <c r="N26" s="38"/>
      <c r="O26" s="39" t="s">
        <v>0</v>
      </c>
      <c r="P26" s="38"/>
      <c r="Q26" s="38"/>
      <c r="R26" s="39" t="s">
        <v>0</v>
      </c>
      <c r="S26" s="38"/>
      <c r="T26" s="38"/>
      <c r="U26" s="39" t="s">
        <v>0</v>
      </c>
      <c r="V26" s="38"/>
      <c r="W26" s="37"/>
      <c r="X26" s="37" t="str">
        <f t="shared" si="4"/>
        <v/>
      </c>
      <c r="Y26" s="39" t="s">
        <v>0</v>
      </c>
      <c r="Z26" s="37" t="str">
        <f t="shared" si="5"/>
        <v/>
      </c>
      <c r="AA26" s="37"/>
      <c r="AB26" s="37" t="str">
        <f t="shared" si="6"/>
        <v/>
      </c>
      <c r="AC26" s="39" t="s">
        <v>0</v>
      </c>
      <c r="AD26" s="37" t="str">
        <f t="shared" si="7"/>
        <v/>
      </c>
      <c r="AE26" s="56"/>
      <c r="AF26" s="37" t="str">
        <f t="shared" si="8"/>
        <v/>
      </c>
      <c r="AG26" s="39" t="s">
        <v>0</v>
      </c>
      <c r="AH26" s="37" t="str">
        <f t="shared" si="9"/>
        <v/>
      </c>
      <c r="AJ26" s="4" t="str">
        <f t="shared" si="10"/>
        <v>Ort</v>
      </c>
      <c r="AM26" s="4">
        <v>20</v>
      </c>
    </row>
    <row r="27" spans="1:40" ht="15.75" hidden="1">
      <c r="A27" s="148" t="str">
        <f t="shared" si="0"/>
        <v/>
      </c>
      <c r="B27" s="149" t="str">
        <f t="shared" si="1"/>
        <v>00.00.2018</v>
      </c>
      <c r="C27" s="40" t="s">
        <v>75</v>
      </c>
      <c r="D27" s="41"/>
      <c r="E27" s="3">
        <v>1</v>
      </c>
      <c r="F27" s="3" t="str">
        <f>IF(H27&lt;21,COUNTIF(H$6:H27,"&lt;21"),"")</f>
        <v/>
      </c>
      <c r="G27" s="7" t="str">
        <f t="shared" si="11"/>
        <v/>
      </c>
      <c r="H27" s="343">
        <v>21</v>
      </c>
      <c r="I27" s="29" t="s">
        <v>16</v>
      </c>
      <c r="J27" s="343">
        <v>21</v>
      </c>
      <c r="K27" s="7" t="str">
        <f t="shared" si="2"/>
        <v/>
      </c>
      <c r="L27" s="343">
        <v>21</v>
      </c>
      <c r="M27" s="7" t="str">
        <f t="shared" si="3"/>
        <v/>
      </c>
      <c r="N27" s="38"/>
      <c r="O27" s="39" t="s">
        <v>0</v>
      </c>
      <c r="P27" s="38"/>
      <c r="Q27" s="38"/>
      <c r="R27" s="39" t="s">
        <v>0</v>
      </c>
      <c r="S27" s="38"/>
      <c r="T27" s="38"/>
      <c r="U27" s="39" t="s">
        <v>0</v>
      </c>
      <c r="V27" s="38"/>
      <c r="W27" s="37"/>
      <c r="X27" s="37" t="str">
        <f t="shared" si="4"/>
        <v/>
      </c>
      <c r="Y27" s="39" t="s">
        <v>0</v>
      </c>
      <c r="Z27" s="37" t="str">
        <f t="shared" si="5"/>
        <v/>
      </c>
      <c r="AA27" s="37"/>
      <c r="AB27" s="37" t="str">
        <f t="shared" si="6"/>
        <v/>
      </c>
      <c r="AC27" s="39" t="s">
        <v>0</v>
      </c>
      <c r="AD27" s="37" t="str">
        <f t="shared" si="7"/>
        <v/>
      </c>
      <c r="AE27" s="56"/>
      <c r="AF27" s="37" t="str">
        <f t="shared" si="8"/>
        <v/>
      </c>
      <c r="AG27" s="39" t="s">
        <v>0</v>
      </c>
      <c r="AH27" s="37" t="str">
        <f t="shared" si="9"/>
        <v/>
      </c>
      <c r="AJ27" s="4" t="str">
        <f t="shared" si="10"/>
        <v>Ort</v>
      </c>
      <c r="AM27" s="4">
        <v>21</v>
      </c>
      <c r="AN27" s="345"/>
    </row>
    <row r="28" spans="1:40" ht="15.75" hidden="1">
      <c r="A28" s="148" t="str">
        <f t="shared" si="0"/>
        <v/>
      </c>
      <c r="B28" s="149" t="str">
        <f t="shared" si="1"/>
        <v>00.00.2018</v>
      </c>
      <c r="C28" s="40" t="s">
        <v>75</v>
      </c>
      <c r="D28" s="41"/>
      <c r="E28" s="3">
        <v>1</v>
      </c>
      <c r="F28" s="3" t="str">
        <f>IF(H28&lt;21,COUNTIF(H$6:H28,"&lt;21"),"")</f>
        <v/>
      </c>
      <c r="G28" s="7" t="str">
        <f t="shared" si="11"/>
        <v/>
      </c>
      <c r="H28" s="343">
        <v>21</v>
      </c>
      <c r="I28" s="29" t="s">
        <v>16</v>
      </c>
      <c r="J28" s="343">
        <v>21</v>
      </c>
      <c r="K28" s="7" t="str">
        <f t="shared" si="2"/>
        <v/>
      </c>
      <c r="L28" s="343">
        <v>21</v>
      </c>
      <c r="M28" s="7" t="str">
        <f t="shared" si="3"/>
        <v/>
      </c>
      <c r="N28" s="38"/>
      <c r="O28" s="39" t="s">
        <v>0</v>
      </c>
      <c r="P28" s="38"/>
      <c r="Q28" s="38"/>
      <c r="R28" s="39" t="s">
        <v>0</v>
      </c>
      <c r="S28" s="38"/>
      <c r="T28" s="38"/>
      <c r="U28" s="39" t="s">
        <v>0</v>
      </c>
      <c r="V28" s="38"/>
      <c r="W28" s="37"/>
      <c r="X28" s="37" t="str">
        <f t="shared" si="4"/>
        <v/>
      </c>
      <c r="Y28" s="39" t="s">
        <v>0</v>
      </c>
      <c r="Z28" s="37" t="str">
        <f t="shared" si="5"/>
        <v/>
      </c>
      <c r="AA28" s="37"/>
      <c r="AB28" s="37" t="str">
        <f t="shared" si="6"/>
        <v/>
      </c>
      <c r="AC28" s="39" t="s">
        <v>0</v>
      </c>
      <c r="AD28" s="37" t="str">
        <f t="shared" si="7"/>
        <v/>
      </c>
      <c r="AE28" s="56"/>
      <c r="AF28" s="37" t="str">
        <f t="shared" si="8"/>
        <v/>
      </c>
      <c r="AG28" s="39" t="s">
        <v>0</v>
      </c>
      <c r="AH28" s="37" t="str">
        <f t="shared" si="9"/>
        <v/>
      </c>
      <c r="AJ28" s="4" t="str">
        <f t="shared" si="10"/>
        <v>Ort</v>
      </c>
    </row>
    <row r="29" spans="1:40" ht="15.75" hidden="1">
      <c r="A29" s="148" t="str">
        <f t="shared" si="0"/>
        <v/>
      </c>
      <c r="B29" s="149" t="str">
        <f t="shared" si="1"/>
        <v>00.00.2018</v>
      </c>
      <c r="C29" s="40" t="s">
        <v>75</v>
      </c>
      <c r="D29" s="41"/>
      <c r="E29" s="3">
        <v>1</v>
      </c>
      <c r="F29" s="3" t="str">
        <f>IF(H29&lt;21,COUNTIF(H$6:H29,"&lt;21"),"")</f>
        <v/>
      </c>
      <c r="G29" s="7" t="str">
        <f t="shared" si="11"/>
        <v/>
      </c>
      <c r="H29" s="343">
        <v>21</v>
      </c>
      <c r="I29" s="29" t="s">
        <v>16</v>
      </c>
      <c r="J29" s="343">
        <v>21</v>
      </c>
      <c r="K29" s="7" t="str">
        <f t="shared" si="2"/>
        <v/>
      </c>
      <c r="L29" s="343">
        <v>21</v>
      </c>
      <c r="M29" s="7" t="str">
        <f t="shared" si="3"/>
        <v/>
      </c>
      <c r="N29" s="38"/>
      <c r="O29" s="39" t="s">
        <v>0</v>
      </c>
      <c r="P29" s="38"/>
      <c r="Q29" s="38"/>
      <c r="R29" s="39" t="s">
        <v>0</v>
      </c>
      <c r="S29" s="38"/>
      <c r="T29" s="38"/>
      <c r="U29" s="39" t="s">
        <v>0</v>
      </c>
      <c r="V29" s="38"/>
      <c r="W29" s="37"/>
      <c r="X29" s="37" t="str">
        <f t="shared" si="4"/>
        <v/>
      </c>
      <c r="Y29" s="39" t="s">
        <v>0</v>
      </c>
      <c r="Z29" s="37" t="str">
        <f t="shared" si="5"/>
        <v/>
      </c>
      <c r="AA29" s="37"/>
      <c r="AB29" s="37" t="str">
        <f t="shared" si="6"/>
        <v/>
      </c>
      <c r="AC29" s="39" t="s">
        <v>0</v>
      </c>
      <c r="AD29" s="37" t="str">
        <f t="shared" si="7"/>
        <v/>
      </c>
      <c r="AE29" s="56"/>
      <c r="AF29" s="37" t="str">
        <f t="shared" si="8"/>
        <v/>
      </c>
      <c r="AG29" s="39" t="s">
        <v>0</v>
      </c>
      <c r="AH29" s="37" t="str">
        <f t="shared" si="9"/>
        <v/>
      </c>
      <c r="AJ29" s="4" t="str">
        <f t="shared" si="10"/>
        <v>Ort</v>
      </c>
    </row>
    <row r="30" spans="1:40" ht="15.75" hidden="1">
      <c r="A30" s="148" t="str">
        <f t="shared" si="0"/>
        <v/>
      </c>
      <c r="B30" s="149" t="str">
        <f t="shared" ref="B30:B35" si="12">K$4</f>
        <v>00.00.2018</v>
      </c>
      <c r="C30" s="40" t="s">
        <v>75</v>
      </c>
      <c r="D30" s="41"/>
      <c r="E30" s="3">
        <v>1</v>
      </c>
      <c r="F30" s="3" t="str">
        <f>IF(H30&lt;21,COUNTIF(H$6:H30,"&lt;21"),"")</f>
        <v/>
      </c>
      <c r="G30" s="7" t="str">
        <f t="shared" si="11"/>
        <v/>
      </c>
      <c r="H30" s="343">
        <v>21</v>
      </c>
      <c r="I30" s="29" t="s">
        <v>16</v>
      </c>
      <c r="J30" s="343">
        <v>21</v>
      </c>
      <c r="K30" s="7" t="str">
        <f t="shared" si="2"/>
        <v/>
      </c>
      <c r="L30" s="343">
        <v>21</v>
      </c>
      <c r="M30" s="7" t="str">
        <f t="shared" si="3"/>
        <v/>
      </c>
      <c r="N30" s="38"/>
      <c r="O30" s="39" t="s">
        <v>0</v>
      </c>
      <c r="P30" s="38"/>
      <c r="Q30" s="38"/>
      <c r="R30" s="39" t="s">
        <v>0</v>
      </c>
      <c r="S30" s="38"/>
      <c r="T30" s="38"/>
      <c r="U30" s="39" t="s">
        <v>0</v>
      </c>
      <c r="V30" s="38"/>
      <c r="W30" s="37"/>
      <c r="X30" s="37" t="str">
        <f t="shared" si="4"/>
        <v/>
      </c>
      <c r="Y30" s="39" t="s">
        <v>0</v>
      </c>
      <c r="Z30" s="37" t="str">
        <f t="shared" si="5"/>
        <v/>
      </c>
      <c r="AA30" s="37"/>
      <c r="AB30" s="37" t="str">
        <f t="shared" si="6"/>
        <v/>
      </c>
      <c r="AC30" s="39" t="s">
        <v>0</v>
      </c>
      <c r="AD30" s="37" t="str">
        <f t="shared" si="7"/>
        <v/>
      </c>
      <c r="AE30" s="56"/>
      <c r="AF30" s="37" t="str">
        <f t="shared" si="8"/>
        <v/>
      </c>
      <c r="AG30" s="39" t="s">
        <v>0</v>
      </c>
      <c r="AH30" s="37" t="str">
        <f t="shared" si="9"/>
        <v/>
      </c>
      <c r="AJ30" s="4" t="str">
        <f t="shared" si="10"/>
        <v>Ort</v>
      </c>
    </row>
    <row r="31" spans="1:40" ht="15.75" hidden="1">
      <c r="A31" s="148" t="str">
        <f t="shared" si="0"/>
        <v/>
      </c>
      <c r="B31" s="149" t="str">
        <f t="shared" si="12"/>
        <v>00.00.2018</v>
      </c>
      <c r="C31" s="40" t="s">
        <v>75</v>
      </c>
      <c r="D31" s="41"/>
      <c r="E31" s="3">
        <v>1</v>
      </c>
      <c r="F31" s="3" t="str">
        <f>IF(H31&lt;21,COUNTIF(H$6:H31,"&lt;21"),"")</f>
        <v/>
      </c>
      <c r="G31" s="7" t="str">
        <f t="shared" si="11"/>
        <v/>
      </c>
      <c r="H31" s="343">
        <v>21</v>
      </c>
      <c r="I31" s="29" t="s">
        <v>16</v>
      </c>
      <c r="J31" s="343">
        <v>21</v>
      </c>
      <c r="K31" s="7" t="str">
        <f t="shared" si="2"/>
        <v/>
      </c>
      <c r="L31" s="343">
        <v>21</v>
      </c>
      <c r="M31" s="7" t="str">
        <f t="shared" si="3"/>
        <v/>
      </c>
      <c r="N31" s="38"/>
      <c r="O31" s="39" t="s">
        <v>0</v>
      </c>
      <c r="P31" s="38"/>
      <c r="Q31" s="38"/>
      <c r="R31" s="39" t="s">
        <v>0</v>
      </c>
      <c r="S31" s="38"/>
      <c r="T31" s="38"/>
      <c r="U31" s="39" t="s">
        <v>0</v>
      </c>
      <c r="V31" s="38"/>
      <c r="W31" s="37"/>
      <c r="X31" s="37" t="str">
        <f t="shared" si="4"/>
        <v/>
      </c>
      <c r="Y31" s="39" t="s">
        <v>0</v>
      </c>
      <c r="Z31" s="37" t="str">
        <f t="shared" si="5"/>
        <v/>
      </c>
      <c r="AA31" s="37"/>
      <c r="AB31" s="37" t="str">
        <f t="shared" si="6"/>
        <v/>
      </c>
      <c r="AC31" s="39" t="s">
        <v>0</v>
      </c>
      <c r="AD31" s="37" t="str">
        <f t="shared" si="7"/>
        <v/>
      </c>
      <c r="AE31" s="56"/>
      <c r="AF31" s="37" t="str">
        <f t="shared" si="8"/>
        <v/>
      </c>
      <c r="AG31" s="39" t="s">
        <v>0</v>
      </c>
      <c r="AH31" s="37" t="str">
        <f t="shared" si="9"/>
        <v/>
      </c>
      <c r="AJ31" s="4" t="str">
        <f t="shared" si="10"/>
        <v>Ort</v>
      </c>
    </row>
    <row r="32" spans="1:40" ht="15.75" hidden="1">
      <c r="A32" s="148" t="str">
        <f t="shared" si="0"/>
        <v/>
      </c>
      <c r="B32" s="149" t="str">
        <f t="shared" si="12"/>
        <v>00.00.2018</v>
      </c>
      <c r="C32" s="40" t="s">
        <v>75</v>
      </c>
      <c r="D32" s="41"/>
      <c r="E32" s="3">
        <v>1</v>
      </c>
      <c r="F32" s="3" t="str">
        <f>IF(H32&lt;21,COUNTIF(H$6:H32,"&lt;21"),"")</f>
        <v/>
      </c>
      <c r="G32" s="7" t="str">
        <f t="shared" si="11"/>
        <v/>
      </c>
      <c r="H32" s="343">
        <v>21</v>
      </c>
      <c r="I32" s="29" t="s">
        <v>16</v>
      </c>
      <c r="J32" s="343">
        <v>21</v>
      </c>
      <c r="K32" s="7" t="str">
        <f t="shared" si="2"/>
        <v/>
      </c>
      <c r="L32" s="343">
        <v>21</v>
      </c>
      <c r="M32" s="7" t="str">
        <f t="shared" si="3"/>
        <v/>
      </c>
      <c r="N32" s="38"/>
      <c r="O32" s="39" t="s">
        <v>0</v>
      </c>
      <c r="P32" s="38"/>
      <c r="Q32" s="38"/>
      <c r="R32" s="39" t="s">
        <v>0</v>
      </c>
      <c r="S32" s="38"/>
      <c r="T32" s="38"/>
      <c r="U32" s="39" t="s">
        <v>0</v>
      </c>
      <c r="V32" s="38"/>
      <c r="W32" s="37"/>
      <c r="X32" s="37" t="str">
        <f t="shared" si="4"/>
        <v/>
      </c>
      <c r="Y32" s="39" t="s">
        <v>0</v>
      </c>
      <c r="Z32" s="37" t="str">
        <f t="shared" si="5"/>
        <v/>
      </c>
      <c r="AA32" s="37"/>
      <c r="AB32" s="37" t="str">
        <f t="shared" si="6"/>
        <v/>
      </c>
      <c r="AC32" s="39" t="s">
        <v>0</v>
      </c>
      <c r="AD32" s="37" t="str">
        <f t="shared" si="7"/>
        <v/>
      </c>
      <c r="AE32" s="56"/>
      <c r="AF32" s="37" t="str">
        <f t="shared" si="8"/>
        <v/>
      </c>
      <c r="AG32" s="39" t="s">
        <v>0</v>
      </c>
      <c r="AH32" s="37" t="str">
        <f t="shared" si="9"/>
        <v/>
      </c>
      <c r="AJ32" s="4" t="str">
        <f t="shared" si="10"/>
        <v>Ort</v>
      </c>
    </row>
    <row r="33" spans="1:73" ht="15.75" hidden="1">
      <c r="A33" s="148" t="str">
        <f t="shared" si="0"/>
        <v/>
      </c>
      <c r="B33" s="149" t="str">
        <f t="shared" si="12"/>
        <v>00.00.2018</v>
      </c>
      <c r="C33" s="40" t="s">
        <v>75</v>
      </c>
      <c r="D33" s="41"/>
      <c r="E33" s="3">
        <v>1</v>
      </c>
      <c r="F33" s="3" t="str">
        <f>IF(H33&lt;21,COUNTIF(H$6:H33,"&lt;21"),"")</f>
        <v/>
      </c>
      <c r="G33" s="7" t="str">
        <f t="shared" si="11"/>
        <v/>
      </c>
      <c r="H33" s="343">
        <v>21</v>
      </c>
      <c r="I33" s="29" t="s">
        <v>16</v>
      </c>
      <c r="J33" s="343">
        <v>21</v>
      </c>
      <c r="K33" s="7" t="str">
        <f t="shared" si="2"/>
        <v/>
      </c>
      <c r="L33" s="343">
        <v>21</v>
      </c>
      <c r="M33" s="7" t="str">
        <f t="shared" si="3"/>
        <v/>
      </c>
      <c r="N33" s="38"/>
      <c r="O33" s="39" t="s">
        <v>0</v>
      </c>
      <c r="P33" s="38"/>
      <c r="Q33" s="38"/>
      <c r="R33" s="39" t="s">
        <v>0</v>
      </c>
      <c r="S33" s="38"/>
      <c r="T33" s="38"/>
      <c r="U33" s="39" t="s">
        <v>0</v>
      </c>
      <c r="V33" s="38"/>
      <c r="W33" s="37"/>
      <c r="X33" s="37" t="str">
        <f t="shared" si="4"/>
        <v/>
      </c>
      <c r="Y33" s="39" t="s">
        <v>0</v>
      </c>
      <c r="Z33" s="37" t="str">
        <f t="shared" si="5"/>
        <v/>
      </c>
      <c r="AA33" s="37"/>
      <c r="AB33" s="37" t="str">
        <f t="shared" si="6"/>
        <v/>
      </c>
      <c r="AC33" s="39" t="s">
        <v>0</v>
      </c>
      <c r="AD33" s="37" t="str">
        <f t="shared" si="7"/>
        <v/>
      </c>
      <c r="AE33" s="56"/>
      <c r="AF33" s="37" t="str">
        <f t="shared" si="8"/>
        <v/>
      </c>
      <c r="AG33" s="39" t="s">
        <v>0</v>
      </c>
      <c r="AH33" s="37" t="str">
        <f t="shared" si="9"/>
        <v/>
      </c>
      <c r="AJ33" s="4" t="str">
        <f t="shared" si="10"/>
        <v>Ort</v>
      </c>
      <c r="AN33" s="345"/>
    </row>
    <row r="34" spans="1:73" ht="15.75" hidden="1">
      <c r="A34" s="148" t="str">
        <f t="shared" si="0"/>
        <v/>
      </c>
      <c r="B34" s="149" t="str">
        <f t="shared" si="12"/>
        <v>00.00.2018</v>
      </c>
      <c r="C34" s="40" t="s">
        <v>75</v>
      </c>
      <c r="D34" s="41"/>
      <c r="E34" s="3">
        <v>1</v>
      </c>
      <c r="F34" s="3" t="str">
        <f>IF(H34&lt;21,COUNTIF(H$6:H34,"&lt;21"),"")</f>
        <v/>
      </c>
      <c r="G34" s="7" t="str">
        <f t="shared" si="11"/>
        <v/>
      </c>
      <c r="H34" s="343">
        <v>21</v>
      </c>
      <c r="I34" s="29" t="s">
        <v>16</v>
      </c>
      <c r="J34" s="343">
        <v>21</v>
      </c>
      <c r="K34" s="7" t="str">
        <f t="shared" si="2"/>
        <v/>
      </c>
      <c r="L34" s="343">
        <v>21</v>
      </c>
      <c r="M34" s="7" t="str">
        <f t="shared" si="3"/>
        <v/>
      </c>
      <c r="N34" s="38"/>
      <c r="O34" s="39" t="s">
        <v>0</v>
      </c>
      <c r="P34" s="38"/>
      <c r="Q34" s="38"/>
      <c r="R34" s="39" t="s">
        <v>0</v>
      </c>
      <c r="S34" s="38"/>
      <c r="T34" s="38"/>
      <c r="U34" s="39" t="s">
        <v>0</v>
      </c>
      <c r="V34" s="38"/>
      <c r="W34" s="37"/>
      <c r="X34" s="37" t="str">
        <f t="shared" si="4"/>
        <v/>
      </c>
      <c r="Y34" s="39" t="s">
        <v>0</v>
      </c>
      <c r="Z34" s="37" t="str">
        <f t="shared" si="5"/>
        <v/>
      </c>
      <c r="AA34" s="37"/>
      <c r="AB34" s="37" t="str">
        <f t="shared" si="6"/>
        <v/>
      </c>
      <c r="AC34" s="39" t="s">
        <v>0</v>
      </c>
      <c r="AD34" s="37" t="str">
        <f t="shared" si="7"/>
        <v/>
      </c>
      <c r="AE34" s="56"/>
      <c r="AF34" s="37" t="str">
        <f t="shared" si="8"/>
        <v/>
      </c>
      <c r="AG34" s="39" t="s">
        <v>0</v>
      </c>
      <c r="AH34" s="37" t="str">
        <f t="shared" si="9"/>
        <v/>
      </c>
      <c r="AJ34" s="4" t="str">
        <f t="shared" si="10"/>
        <v>Ort</v>
      </c>
    </row>
    <row r="35" spans="1:73" ht="15.75" hidden="1">
      <c r="A35" s="148" t="str">
        <f t="shared" si="0"/>
        <v/>
      </c>
      <c r="B35" s="149" t="str">
        <f t="shared" si="12"/>
        <v>00.00.2018</v>
      </c>
      <c r="C35" s="40" t="s">
        <v>75</v>
      </c>
      <c r="D35" s="41"/>
      <c r="E35" s="3">
        <v>1</v>
      </c>
      <c r="F35" s="3" t="str">
        <f>IF(H35&lt;21,COUNTIF(H$6:H35,"&lt;21"),"")</f>
        <v/>
      </c>
      <c r="G35" s="7" t="str">
        <f t="shared" si="11"/>
        <v/>
      </c>
      <c r="H35" s="343">
        <v>21</v>
      </c>
      <c r="I35" s="29" t="s">
        <v>16</v>
      </c>
      <c r="J35" s="343">
        <v>21</v>
      </c>
      <c r="K35" s="7" t="str">
        <f t="shared" si="2"/>
        <v/>
      </c>
      <c r="L35" s="343">
        <v>21</v>
      </c>
      <c r="M35" s="7" t="str">
        <f t="shared" si="3"/>
        <v/>
      </c>
      <c r="N35" s="38"/>
      <c r="O35" s="39" t="s">
        <v>0</v>
      </c>
      <c r="P35" s="38"/>
      <c r="Q35" s="38"/>
      <c r="R35" s="39" t="s">
        <v>0</v>
      </c>
      <c r="S35" s="38"/>
      <c r="T35" s="38"/>
      <c r="U35" s="39" t="s">
        <v>0</v>
      </c>
      <c r="V35" s="38"/>
      <c r="W35" s="37"/>
      <c r="X35" s="37" t="str">
        <f t="shared" si="4"/>
        <v/>
      </c>
      <c r="Y35" s="39" t="s">
        <v>0</v>
      </c>
      <c r="Z35" s="37" t="str">
        <f t="shared" si="5"/>
        <v/>
      </c>
      <c r="AA35" s="37"/>
      <c r="AB35" s="37" t="str">
        <f t="shared" si="6"/>
        <v/>
      </c>
      <c r="AC35" s="39" t="s">
        <v>0</v>
      </c>
      <c r="AD35" s="37" t="str">
        <f t="shared" si="7"/>
        <v/>
      </c>
      <c r="AE35" s="56"/>
      <c r="AF35" s="37" t="str">
        <f t="shared" si="8"/>
        <v/>
      </c>
      <c r="AG35" s="39" t="s">
        <v>0</v>
      </c>
      <c r="AH35" s="37" t="str">
        <f t="shared" si="9"/>
        <v/>
      </c>
      <c r="AJ35" s="4" t="str">
        <f t="shared" si="10"/>
        <v>Ort</v>
      </c>
    </row>
    <row r="36" spans="1:73">
      <c r="W36" s="34"/>
      <c r="X36" s="34"/>
      <c r="Y36" s="34"/>
      <c r="Z36" s="34"/>
      <c r="AE36" s="57"/>
    </row>
    <row r="37" spans="1:73">
      <c r="A37" s="149"/>
      <c r="B37" s="149"/>
      <c r="W37" s="34"/>
      <c r="X37" s="34"/>
      <c r="Y37" s="34"/>
      <c r="Z37" s="34"/>
      <c r="AE37" s="57"/>
    </row>
    <row r="38" spans="1:73" s="17" customFormat="1" ht="20.25">
      <c r="C38" s="14"/>
      <c r="D38" s="15"/>
      <c r="E38" s="15"/>
      <c r="F38" s="16" t="s">
        <v>132</v>
      </c>
      <c r="I38" s="16"/>
      <c r="J38" s="16"/>
      <c r="K38" s="362" t="s">
        <v>145</v>
      </c>
      <c r="L38" s="362"/>
      <c r="M38" s="363" t="s">
        <v>146</v>
      </c>
      <c r="N38" s="14"/>
      <c r="O38" s="14"/>
      <c r="P38" s="364" t="s">
        <v>147</v>
      </c>
      <c r="Q38" s="14"/>
      <c r="R38" s="14"/>
      <c r="S38" s="14"/>
      <c r="T38" s="14"/>
      <c r="U38" s="14"/>
      <c r="V38" s="14"/>
      <c r="W38" s="35"/>
      <c r="X38" s="378" t="s">
        <v>152</v>
      </c>
      <c r="Y38" s="35"/>
      <c r="Z38" s="35"/>
      <c r="AA38" s="35"/>
      <c r="AB38" s="35"/>
      <c r="AC38" s="35"/>
      <c r="AD38" s="35"/>
      <c r="AE38" s="54"/>
      <c r="AF38" s="35"/>
      <c r="AG38" s="35"/>
      <c r="AH38" s="35"/>
      <c r="AM38" s="4"/>
      <c r="AN38" s="4"/>
    </row>
    <row r="39" spans="1:73" s="30" customFormat="1" ht="20.25">
      <c r="A39" s="147" t="s">
        <v>13</v>
      </c>
      <c r="B39" s="20" t="s">
        <v>83</v>
      </c>
      <c r="C39" s="25" t="s">
        <v>8</v>
      </c>
      <c r="D39" s="26" t="s">
        <v>4</v>
      </c>
      <c r="E39" s="26" t="s">
        <v>3</v>
      </c>
      <c r="F39" s="26" t="s">
        <v>13</v>
      </c>
      <c r="G39" s="347" t="s">
        <v>7</v>
      </c>
      <c r="H39" s="348" t="s">
        <v>24</v>
      </c>
      <c r="I39" s="29"/>
      <c r="J39" s="7" t="s">
        <v>25</v>
      </c>
      <c r="K39" s="347" t="s">
        <v>6</v>
      </c>
      <c r="L39" s="348" t="s">
        <v>76</v>
      </c>
      <c r="M39" s="29" t="s">
        <v>5</v>
      </c>
      <c r="N39" s="394" t="s">
        <v>29</v>
      </c>
      <c r="O39" s="394"/>
      <c r="P39" s="394"/>
      <c r="Q39" s="394" t="s">
        <v>30</v>
      </c>
      <c r="R39" s="394"/>
      <c r="S39" s="394"/>
      <c r="T39" s="394" t="s">
        <v>31</v>
      </c>
      <c r="U39" s="394"/>
      <c r="V39" s="394"/>
      <c r="W39" s="39"/>
      <c r="X39" s="395" t="s">
        <v>2</v>
      </c>
      <c r="Y39" s="395"/>
      <c r="Z39" s="395"/>
      <c r="AA39" s="39"/>
      <c r="AB39" s="395" t="s">
        <v>32</v>
      </c>
      <c r="AC39" s="395"/>
      <c r="AD39" s="395"/>
      <c r="AE39" s="55"/>
      <c r="AF39" s="395" t="s">
        <v>28</v>
      </c>
      <c r="AG39" s="395"/>
      <c r="AH39" s="395"/>
      <c r="AM39" s="17"/>
      <c r="AN39" s="17"/>
      <c r="BU39" s="365" t="s">
        <v>135</v>
      </c>
    </row>
    <row r="40" spans="1:73" ht="15.75">
      <c r="A40" s="3">
        <f>F40</f>
        <v>11</v>
      </c>
      <c r="B40" s="349" t="str">
        <f>K$38</f>
        <v>00.00.2018</v>
      </c>
      <c r="C40" s="366">
        <v>0.39583333333333331</v>
      </c>
      <c r="D40" s="353">
        <v>1</v>
      </c>
      <c r="E40" s="354">
        <v>1</v>
      </c>
      <c r="F40" s="354">
        <f>IF(H40&lt;21,COUNTIF(H$6:H40,"&lt;21"),"")</f>
        <v>11</v>
      </c>
      <c r="G40" s="355" t="str">
        <f>IF(H40=21,"",INDEX($AM$7:$AN$27,H40,2))</f>
        <v>Team 7</v>
      </c>
      <c r="H40" s="343">
        <v>7</v>
      </c>
      <c r="I40" s="29" t="s">
        <v>16</v>
      </c>
      <c r="J40" s="343">
        <v>8</v>
      </c>
      <c r="K40" s="355" t="str">
        <f t="shared" ref="K40:K69" si="13">IF(J40=21,"",INDEX($AM$7:$AN$27,J40,2))</f>
        <v>Team 8</v>
      </c>
      <c r="L40" s="343">
        <v>9</v>
      </c>
      <c r="M40" s="355" t="str">
        <f t="shared" ref="M40:M69" si="14">IF(L40=21,"",INDEX($AM$7:$AN$27,L40,2))</f>
        <v>Team 9</v>
      </c>
      <c r="N40" s="357"/>
      <c r="O40" s="358" t="s">
        <v>0</v>
      </c>
      <c r="P40" s="357"/>
      <c r="Q40" s="357"/>
      <c r="R40" s="358" t="s">
        <v>0</v>
      </c>
      <c r="S40" s="357"/>
      <c r="T40" s="357"/>
      <c r="U40" s="358" t="s">
        <v>0</v>
      </c>
      <c r="V40" s="357"/>
      <c r="W40" s="359"/>
      <c r="X40" s="359" t="str">
        <f t="shared" ref="X40:X69" si="15">IF(N40+P40&gt;0,IF(AB40&gt;0,IF(AB40&gt;AD40,2,IF(AB40&lt;AD40,0,1)),0),"")</f>
        <v/>
      </c>
      <c r="Y40" s="358" t="s">
        <v>0</v>
      </c>
      <c r="Z40" s="359" t="str">
        <f t="shared" ref="Z40:Z69" si="16">IF(N40+P40&gt;0,IF(AD40&gt;0,IF(AD40&gt;AB40,2,IF(AD40&lt;AB40,0,1)),0),"")</f>
        <v/>
      </c>
      <c r="AA40" s="359"/>
      <c r="AB40" s="359" t="str">
        <f t="shared" ref="AB40:AB69" si="17">IF(N40+P40&gt;0,IF(N40&gt;P40,1,0)+IF(Q40&gt;S40,1,0)+IF(T40&gt;V40,1,0),"")</f>
        <v/>
      </c>
      <c r="AC40" s="358" t="s">
        <v>0</v>
      </c>
      <c r="AD40" s="359" t="str">
        <f t="shared" ref="AD40:AD69" si="18">IF(N40+P40&gt;0,IF(N40&lt;P40,1,0)+IF(Q40&lt;S40,1,0)+IF(T40&lt;V40,1,0),"")</f>
        <v/>
      </c>
      <c r="AE40" s="360"/>
      <c r="AF40" s="359" t="str">
        <f t="shared" ref="AF40:AF69" si="19">IF(N40+P40&gt;0,N40+Q40+T40,"")</f>
        <v/>
      </c>
      <c r="AG40" s="358" t="s">
        <v>0</v>
      </c>
      <c r="AH40" s="359" t="str">
        <f t="shared" ref="AH40:AH69" si="20">IF(N40+P40&gt;0,P40+S40+V40,"")</f>
        <v/>
      </c>
      <c r="AJ40" s="4" t="str">
        <f>M$38</f>
        <v>Ort</v>
      </c>
      <c r="AM40" s="30"/>
      <c r="AN40" s="30"/>
      <c r="AQ40" s="4" t="s">
        <v>134</v>
      </c>
      <c r="AR40" s="4" t="str">
        <f>Platzierung!T24</f>
        <v>Team 4</v>
      </c>
      <c r="BU40" s="4" t="str">
        <f>Platzierung!T23</f>
        <v>Team 3</v>
      </c>
    </row>
    <row r="41" spans="1:73" ht="15.75">
      <c r="A41" s="3">
        <f t="shared" ref="A41:A69" si="21">F41</f>
        <v>12</v>
      </c>
      <c r="B41" s="349" t="str">
        <f t="shared" ref="B41:B69" si="22">K$38</f>
        <v>00.00.2018</v>
      </c>
      <c r="C41" s="40" t="s">
        <v>75</v>
      </c>
      <c r="D41" s="41">
        <v>2</v>
      </c>
      <c r="E41" s="3">
        <v>1</v>
      </c>
      <c r="F41" s="3">
        <f>IF(H41&lt;21,COUNTIF(H$6:H41,"&lt;21"),"")</f>
        <v>12</v>
      </c>
      <c r="G41" s="7" t="str">
        <f>IF(H41=21,"",INDEX($AM$7:$AN$27,H41,2))</f>
        <v>Team 7</v>
      </c>
      <c r="H41" s="343">
        <v>7</v>
      </c>
      <c r="I41" s="29" t="s">
        <v>16</v>
      </c>
      <c r="J41" s="343">
        <v>9</v>
      </c>
      <c r="K41" s="7" t="str">
        <f t="shared" si="13"/>
        <v>Team 9</v>
      </c>
      <c r="L41" s="343">
        <v>8</v>
      </c>
      <c r="M41" s="7" t="str">
        <f t="shared" si="14"/>
        <v>Team 8</v>
      </c>
      <c r="N41" s="38"/>
      <c r="O41" s="39" t="s">
        <v>0</v>
      </c>
      <c r="P41" s="38"/>
      <c r="Q41" s="38"/>
      <c r="R41" s="39" t="s">
        <v>0</v>
      </c>
      <c r="S41" s="38"/>
      <c r="T41" s="38"/>
      <c r="U41" s="39" t="s">
        <v>0</v>
      </c>
      <c r="V41" s="38"/>
      <c r="W41" s="37"/>
      <c r="X41" s="37" t="str">
        <f t="shared" si="15"/>
        <v/>
      </c>
      <c r="Y41" s="39" t="s">
        <v>0</v>
      </c>
      <c r="Z41" s="37" t="str">
        <f t="shared" si="16"/>
        <v/>
      </c>
      <c r="AA41" s="37"/>
      <c r="AB41" s="37" t="str">
        <f t="shared" si="17"/>
        <v/>
      </c>
      <c r="AC41" s="39" t="s">
        <v>0</v>
      </c>
      <c r="AD41" s="37" t="str">
        <f t="shared" si="18"/>
        <v/>
      </c>
      <c r="AE41" s="56"/>
      <c r="AF41" s="37" t="str">
        <f t="shared" si="19"/>
        <v/>
      </c>
      <c r="AG41" s="39" t="s">
        <v>0</v>
      </c>
      <c r="AH41" s="37" t="str">
        <f t="shared" si="20"/>
        <v/>
      </c>
      <c r="AJ41" s="4" t="str">
        <f t="shared" ref="AJ41:AJ69" si="23">M$38</f>
        <v>Ort</v>
      </c>
      <c r="AQ41" s="4" t="s">
        <v>134</v>
      </c>
      <c r="AR41" s="4" t="str">
        <f>Platzierung!T25</f>
        <v>Team 5</v>
      </c>
      <c r="BU41" s="4" t="str">
        <f>Platzierung!T24</f>
        <v>Team 4</v>
      </c>
    </row>
    <row r="42" spans="1:73" ht="15.75">
      <c r="A42" s="3">
        <f t="shared" si="21"/>
        <v>13</v>
      </c>
      <c r="B42" s="349" t="str">
        <f t="shared" si="22"/>
        <v>00.00.2018</v>
      </c>
      <c r="C42" s="352" t="s">
        <v>75</v>
      </c>
      <c r="D42" s="353">
        <v>3</v>
      </c>
      <c r="E42" s="354">
        <v>1</v>
      </c>
      <c r="F42" s="354">
        <f>IF(H42&lt;21,COUNTIF(H$6:H42,"&lt;21"),"")</f>
        <v>13</v>
      </c>
      <c r="G42" s="355" t="str">
        <f t="shared" ref="G42:G69" si="24">IF(H42=21,"",INDEX($AM$7:$AN$27,H42,2))</f>
        <v>Team 8</v>
      </c>
      <c r="H42" s="343">
        <v>8</v>
      </c>
      <c r="I42" s="29" t="s">
        <v>16</v>
      </c>
      <c r="J42" s="343">
        <v>9</v>
      </c>
      <c r="K42" s="355" t="str">
        <f t="shared" si="13"/>
        <v>Team 9</v>
      </c>
      <c r="L42" s="343">
        <v>7</v>
      </c>
      <c r="M42" s="355" t="str">
        <f t="shared" si="14"/>
        <v>Team 7</v>
      </c>
      <c r="N42" s="357"/>
      <c r="O42" s="358" t="s">
        <v>0</v>
      </c>
      <c r="P42" s="357"/>
      <c r="Q42" s="357"/>
      <c r="R42" s="358" t="s">
        <v>0</v>
      </c>
      <c r="S42" s="357"/>
      <c r="T42" s="357"/>
      <c r="U42" s="358" t="s">
        <v>0</v>
      </c>
      <c r="V42" s="357"/>
      <c r="W42" s="359"/>
      <c r="X42" s="359" t="str">
        <f t="shared" si="15"/>
        <v/>
      </c>
      <c r="Y42" s="358" t="s">
        <v>0</v>
      </c>
      <c r="Z42" s="359" t="str">
        <f t="shared" si="16"/>
        <v/>
      </c>
      <c r="AA42" s="359"/>
      <c r="AB42" s="359" t="str">
        <f t="shared" si="17"/>
        <v/>
      </c>
      <c r="AC42" s="358" t="s">
        <v>0</v>
      </c>
      <c r="AD42" s="359" t="str">
        <f t="shared" si="18"/>
        <v/>
      </c>
      <c r="AE42" s="360"/>
      <c r="AF42" s="359" t="str">
        <f t="shared" si="19"/>
        <v/>
      </c>
      <c r="AG42" s="358" t="s">
        <v>0</v>
      </c>
      <c r="AH42" s="359" t="str">
        <f t="shared" si="20"/>
        <v/>
      </c>
      <c r="AJ42" s="4" t="str">
        <f t="shared" si="23"/>
        <v>Ort</v>
      </c>
      <c r="AQ42" s="4" t="s">
        <v>134</v>
      </c>
      <c r="AR42" s="4" t="str">
        <f>Platzierung!T26</f>
        <v>Team 6</v>
      </c>
    </row>
    <row r="43" spans="1:73" ht="15.75">
      <c r="A43" s="3">
        <f t="shared" si="21"/>
        <v>14</v>
      </c>
      <c r="B43" s="349" t="str">
        <f t="shared" si="22"/>
        <v>00.00.2018</v>
      </c>
      <c r="C43" s="40" t="s">
        <v>75</v>
      </c>
      <c r="D43" s="41">
        <v>4</v>
      </c>
      <c r="E43" s="3">
        <v>1</v>
      </c>
      <c r="F43" s="3">
        <f>IF(H43&lt;21,COUNTIF(H$6:H43,"&lt;21"),"")</f>
        <v>14</v>
      </c>
      <c r="G43" s="7" t="str">
        <f t="shared" si="24"/>
        <v>Team 7</v>
      </c>
      <c r="H43" s="343">
        <v>7</v>
      </c>
      <c r="I43" s="29" t="s">
        <v>16</v>
      </c>
      <c r="J43" s="343">
        <v>2</v>
      </c>
      <c r="K43" s="7" t="str">
        <f t="shared" si="13"/>
        <v>Team 2</v>
      </c>
      <c r="L43" s="343">
        <v>8</v>
      </c>
      <c r="M43" s="7" t="str">
        <f t="shared" si="14"/>
        <v>Team 8</v>
      </c>
      <c r="N43" s="38"/>
      <c r="O43" s="39" t="s">
        <v>0</v>
      </c>
      <c r="P43" s="38"/>
      <c r="Q43" s="38"/>
      <c r="R43" s="39" t="s">
        <v>0</v>
      </c>
      <c r="S43" s="38"/>
      <c r="T43" s="38"/>
      <c r="U43" s="39" t="s">
        <v>0</v>
      </c>
      <c r="V43" s="38"/>
      <c r="W43" s="37"/>
      <c r="X43" s="37" t="str">
        <f t="shared" si="15"/>
        <v/>
      </c>
      <c r="Y43" s="39" t="s">
        <v>0</v>
      </c>
      <c r="Z43" s="37" t="str">
        <f t="shared" si="16"/>
        <v/>
      </c>
      <c r="AA43" s="37"/>
      <c r="AB43" s="37" t="str">
        <f t="shared" si="17"/>
        <v/>
      </c>
      <c r="AC43" s="39" t="s">
        <v>0</v>
      </c>
      <c r="AD43" s="37" t="str">
        <f t="shared" si="18"/>
        <v/>
      </c>
      <c r="AE43" s="56"/>
      <c r="AF43" s="37" t="str">
        <f t="shared" si="19"/>
        <v/>
      </c>
      <c r="AG43" s="39" t="s">
        <v>0</v>
      </c>
      <c r="AH43" s="37" t="str">
        <f t="shared" si="20"/>
        <v/>
      </c>
      <c r="AJ43" s="4" t="str">
        <f t="shared" si="23"/>
        <v>Ort</v>
      </c>
    </row>
    <row r="44" spans="1:73" ht="15.75">
      <c r="A44" s="3">
        <f t="shared" si="21"/>
        <v>15</v>
      </c>
      <c r="B44" s="349" t="str">
        <f t="shared" si="22"/>
        <v>00.00.2018</v>
      </c>
      <c r="C44" s="352" t="s">
        <v>75</v>
      </c>
      <c r="D44" s="353">
        <v>5</v>
      </c>
      <c r="E44" s="354">
        <v>1</v>
      </c>
      <c r="F44" s="354">
        <f>IF(H44&lt;21,COUNTIF(H$6:H44,"&lt;21"),"")</f>
        <v>15</v>
      </c>
      <c r="G44" s="355" t="str">
        <f t="shared" si="24"/>
        <v>Team 2</v>
      </c>
      <c r="H44" s="343">
        <v>2</v>
      </c>
      <c r="I44" s="29" t="s">
        <v>16</v>
      </c>
      <c r="J44" s="343">
        <v>9</v>
      </c>
      <c r="K44" s="355" t="str">
        <f t="shared" si="13"/>
        <v>Team 9</v>
      </c>
      <c r="L44" s="343">
        <v>7</v>
      </c>
      <c r="M44" s="355" t="str">
        <f t="shared" si="14"/>
        <v>Team 7</v>
      </c>
      <c r="N44" s="357"/>
      <c r="O44" s="358" t="s">
        <v>0</v>
      </c>
      <c r="P44" s="357"/>
      <c r="Q44" s="357"/>
      <c r="R44" s="358" t="s">
        <v>0</v>
      </c>
      <c r="S44" s="357"/>
      <c r="T44" s="357"/>
      <c r="U44" s="358" t="s">
        <v>0</v>
      </c>
      <c r="V44" s="357"/>
      <c r="W44" s="359"/>
      <c r="X44" s="359" t="str">
        <f t="shared" si="15"/>
        <v/>
      </c>
      <c r="Y44" s="358" t="s">
        <v>0</v>
      </c>
      <c r="Z44" s="359" t="str">
        <f t="shared" si="16"/>
        <v/>
      </c>
      <c r="AA44" s="359"/>
      <c r="AB44" s="359" t="str">
        <f t="shared" si="17"/>
        <v/>
      </c>
      <c r="AC44" s="358" t="s">
        <v>0</v>
      </c>
      <c r="AD44" s="359" t="str">
        <f t="shared" si="18"/>
        <v/>
      </c>
      <c r="AE44" s="360"/>
      <c r="AF44" s="359" t="str">
        <f t="shared" si="19"/>
        <v/>
      </c>
      <c r="AG44" s="358" t="s">
        <v>0</v>
      </c>
      <c r="AH44" s="359" t="str">
        <f t="shared" si="20"/>
        <v/>
      </c>
      <c r="AJ44" s="4" t="str">
        <f t="shared" si="23"/>
        <v>Ort</v>
      </c>
    </row>
    <row r="45" spans="1:73" ht="15.75">
      <c r="A45" s="3">
        <f t="shared" si="21"/>
        <v>16</v>
      </c>
      <c r="B45" s="349" t="str">
        <f t="shared" si="22"/>
        <v>00.00.2018</v>
      </c>
      <c r="C45" s="40" t="s">
        <v>75</v>
      </c>
      <c r="D45" s="41">
        <v>6</v>
      </c>
      <c r="E45" s="3">
        <v>1</v>
      </c>
      <c r="F45" s="3">
        <f>IF(H45&lt;21,COUNTIF(H$6:H45,"&lt;21"),"")</f>
        <v>16</v>
      </c>
      <c r="G45" s="7" t="str">
        <f t="shared" si="24"/>
        <v>Team 8</v>
      </c>
      <c r="H45" s="343">
        <v>8</v>
      </c>
      <c r="I45" s="29" t="s">
        <v>16</v>
      </c>
      <c r="J45" s="343">
        <v>1</v>
      </c>
      <c r="K45" s="7" t="str">
        <f t="shared" si="13"/>
        <v>Team 1</v>
      </c>
      <c r="L45" s="343">
        <v>2</v>
      </c>
      <c r="M45" s="7" t="str">
        <f t="shared" si="14"/>
        <v>Team 2</v>
      </c>
      <c r="N45" s="38"/>
      <c r="O45" s="39" t="s">
        <v>0</v>
      </c>
      <c r="P45" s="38"/>
      <c r="Q45" s="38"/>
      <c r="R45" s="39" t="s">
        <v>0</v>
      </c>
      <c r="S45" s="38"/>
      <c r="T45" s="38"/>
      <c r="U45" s="39" t="s">
        <v>0</v>
      </c>
      <c r="V45" s="38"/>
      <c r="W45" s="37"/>
      <c r="X45" s="37" t="str">
        <f t="shared" si="15"/>
        <v/>
      </c>
      <c r="Y45" s="39" t="s">
        <v>0</v>
      </c>
      <c r="Z45" s="37" t="str">
        <f t="shared" si="16"/>
        <v/>
      </c>
      <c r="AA45" s="37"/>
      <c r="AB45" s="37" t="str">
        <f t="shared" si="17"/>
        <v/>
      </c>
      <c r="AC45" s="39" t="s">
        <v>0</v>
      </c>
      <c r="AD45" s="37" t="str">
        <f t="shared" si="18"/>
        <v/>
      </c>
      <c r="AE45" s="56"/>
      <c r="AF45" s="37" t="str">
        <f t="shared" si="19"/>
        <v/>
      </c>
      <c r="AG45" s="39" t="s">
        <v>0</v>
      </c>
      <c r="AH45" s="37" t="str">
        <f t="shared" si="20"/>
        <v/>
      </c>
      <c r="AJ45" s="4" t="str">
        <f t="shared" si="23"/>
        <v>Ort</v>
      </c>
    </row>
    <row r="46" spans="1:73" ht="15.75">
      <c r="A46" s="3">
        <f t="shared" si="21"/>
        <v>17</v>
      </c>
      <c r="B46" s="349" t="str">
        <f t="shared" si="22"/>
        <v>00.00.2018</v>
      </c>
      <c r="C46" s="352" t="s">
        <v>75</v>
      </c>
      <c r="D46" s="353">
        <v>7</v>
      </c>
      <c r="E46" s="354">
        <v>1</v>
      </c>
      <c r="F46" s="354">
        <f>IF(H46&lt;21,COUNTIF(H$6:H46,"&lt;21"),"")</f>
        <v>17</v>
      </c>
      <c r="G46" s="355" t="str">
        <f t="shared" si="24"/>
        <v>Team 9</v>
      </c>
      <c r="H46" s="356">
        <v>9</v>
      </c>
      <c r="I46" s="379" t="s">
        <v>16</v>
      </c>
      <c r="J46" s="356">
        <v>3</v>
      </c>
      <c r="K46" s="355" t="str">
        <f t="shared" si="13"/>
        <v>Team 3</v>
      </c>
      <c r="L46" s="356">
        <v>1</v>
      </c>
      <c r="M46" s="355" t="str">
        <f t="shared" si="14"/>
        <v>Team 1</v>
      </c>
      <c r="N46" s="357"/>
      <c r="O46" s="358" t="s">
        <v>0</v>
      </c>
      <c r="P46" s="357"/>
      <c r="Q46" s="357"/>
      <c r="R46" s="358" t="s">
        <v>0</v>
      </c>
      <c r="S46" s="357"/>
      <c r="T46" s="357"/>
      <c r="U46" s="358" t="s">
        <v>0</v>
      </c>
      <c r="V46" s="357"/>
      <c r="W46" s="359"/>
      <c r="X46" s="359" t="str">
        <f t="shared" si="15"/>
        <v/>
      </c>
      <c r="Y46" s="358" t="s">
        <v>0</v>
      </c>
      <c r="Z46" s="359" t="str">
        <f t="shared" si="16"/>
        <v/>
      </c>
      <c r="AA46" s="359"/>
      <c r="AB46" s="359" t="str">
        <f t="shared" si="17"/>
        <v/>
      </c>
      <c r="AC46" s="358" t="s">
        <v>0</v>
      </c>
      <c r="AD46" s="359" t="str">
        <f t="shared" si="18"/>
        <v/>
      </c>
      <c r="AE46" s="360"/>
      <c r="AF46" s="359" t="str">
        <f t="shared" si="19"/>
        <v/>
      </c>
      <c r="AG46" s="358" t="s">
        <v>0</v>
      </c>
      <c r="AH46" s="359" t="str">
        <f t="shared" si="20"/>
        <v/>
      </c>
      <c r="AJ46" s="4" t="str">
        <f t="shared" si="23"/>
        <v>Ort</v>
      </c>
    </row>
    <row r="47" spans="1:73" ht="15.75">
      <c r="A47" s="3">
        <f t="shared" si="21"/>
        <v>18</v>
      </c>
      <c r="B47" s="349" t="str">
        <f t="shared" si="22"/>
        <v>00.00.2018</v>
      </c>
      <c r="C47" s="40" t="s">
        <v>75</v>
      </c>
      <c r="D47" s="41">
        <v>8</v>
      </c>
      <c r="E47" s="3">
        <v>1</v>
      </c>
      <c r="F47" s="3">
        <f>IF(H47&lt;21,COUNTIF(H$6:H47,"&lt;21"),"")</f>
        <v>18</v>
      </c>
      <c r="G47" s="7" t="str">
        <f t="shared" si="24"/>
        <v>Team 2</v>
      </c>
      <c r="H47" s="343">
        <v>2</v>
      </c>
      <c r="I47" s="29" t="s">
        <v>16</v>
      </c>
      <c r="J47" s="343">
        <v>1</v>
      </c>
      <c r="K47" s="7" t="str">
        <f t="shared" si="13"/>
        <v>Team 1</v>
      </c>
      <c r="L47" s="343">
        <v>3</v>
      </c>
      <c r="M47" s="7" t="str">
        <f t="shared" si="14"/>
        <v>Team 3</v>
      </c>
      <c r="N47" s="38"/>
      <c r="O47" s="39" t="s">
        <v>0</v>
      </c>
      <c r="P47" s="38"/>
      <c r="Q47" s="38"/>
      <c r="R47" s="39" t="s">
        <v>0</v>
      </c>
      <c r="S47" s="38"/>
      <c r="T47" s="38"/>
      <c r="U47" s="39" t="s">
        <v>0</v>
      </c>
      <c r="V47" s="38"/>
      <c r="W47" s="37"/>
      <c r="X47" s="37" t="str">
        <f t="shared" si="15"/>
        <v/>
      </c>
      <c r="Y47" s="39" t="s">
        <v>0</v>
      </c>
      <c r="Z47" s="37" t="str">
        <f t="shared" si="16"/>
        <v/>
      </c>
      <c r="AA47" s="37"/>
      <c r="AB47" s="37" t="str">
        <f t="shared" si="17"/>
        <v/>
      </c>
      <c r="AC47" s="39" t="s">
        <v>0</v>
      </c>
      <c r="AD47" s="37" t="str">
        <f t="shared" si="18"/>
        <v/>
      </c>
      <c r="AE47" s="56"/>
      <c r="AF47" s="37" t="str">
        <f t="shared" si="19"/>
        <v/>
      </c>
      <c r="AG47" s="39" t="s">
        <v>0</v>
      </c>
      <c r="AH47" s="37" t="str">
        <f t="shared" si="20"/>
        <v/>
      </c>
      <c r="AJ47" s="4" t="str">
        <f t="shared" si="23"/>
        <v>Ort</v>
      </c>
    </row>
    <row r="48" spans="1:73" ht="15.75">
      <c r="A48" s="3">
        <f t="shared" si="21"/>
        <v>19</v>
      </c>
      <c r="B48" s="349" t="str">
        <f t="shared" si="22"/>
        <v>00.00.2018</v>
      </c>
      <c r="C48" s="352" t="s">
        <v>75</v>
      </c>
      <c r="D48" s="353">
        <v>9</v>
      </c>
      <c r="E48" s="354">
        <v>1</v>
      </c>
      <c r="F48" s="354">
        <f>IF(H48&lt;21,COUNTIF(H$6:H48,"&lt;21"),"")</f>
        <v>19</v>
      </c>
      <c r="G48" s="355" t="str">
        <f t="shared" si="24"/>
        <v>Team 3</v>
      </c>
      <c r="H48" s="356">
        <v>3</v>
      </c>
      <c r="I48" s="379" t="s">
        <v>16</v>
      </c>
      <c r="J48" s="356">
        <v>2</v>
      </c>
      <c r="K48" s="355" t="str">
        <f t="shared" si="13"/>
        <v>Team 2</v>
      </c>
      <c r="L48" s="343">
        <v>1</v>
      </c>
      <c r="M48" s="355" t="str">
        <f t="shared" si="14"/>
        <v>Team 1</v>
      </c>
      <c r="N48" s="357"/>
      <c r="O48" s="358" t="s">
        <v>0</v>
      </c>
      <c r="P48" s="357"/>
      <c r="Q48" s="357"/>
      <c r="R48" s="358" t="s">
        <v>0</v>
      </c>
      <c r="S48" s="357"/>
      <c r="T48" s="357"/>
      <c r="U48" s="358" t="s">
        <v>0</v>
      </c>
      <c r="V48" s="357"/>
      <c r="W48" s="359"/>
      <c r="X48" s="359" t="str">
        <f t="shared" si="15"/>
        <v/>
      </c>
      <c r="Y48" s="358" t="s">
        <v>0</v>
      </c>
      <c r="Z48" s="359" t="str">
        <f t="shared" si="16"/>
        <v/>
      </c>
      <c r="AA48" s="359"/>
      <c r="AB48" s="359" t="str">
        <f t="shared" si="17"/>
        <v/>
      </c>
      <c r="AC48" s="358" t="s">
        <v>0</v>
      </c>
      <c r="AD48" s="359" t="str">
        <f t="shared" si="18"/>
        <v/>
      </c>
      <c r="AE48" s="360"/>
      <c r="AF48" s="359" t="str">
        <f t="shared" si="19"/>
        <v/>
      </c>
      <c r="AG48" s="358" t="s">
        <v>0</v>
      </c>
      <c r="AH48" s="359" t="str">
        <f t="shared" si="20"/>
        <v/>
      </c>
      <c r="AJ48" s="4" t="str">
        <f t="shared" si="23"/>
        <v>Ort</v>
      </c>
    </row>
    <row r="49" spans="1:40" ht="15.75">
      <c r="A49" s="3">
        <f t="shared" si="21"/>
        <v>20</v>
      </c>
      <c r="B49" s="349" t="str">
        <f t="shared" si="22"/>
        <v>00.00.2018</v>
      </c>
      <c r="C49" s="40" t="s">
        <v>75</v>
      </c>
      <c r="D49" s="41">
        <v>10</v>
      </c>
      <c r="E49" s="3">
        <v>1</v>
      </c>
      <c r="F49" s="3">
        <f>IF(H49&lt;21,COUNTIF(H$6:H49,"&lt;21"),"")</f>
        <v>20</v>
      </c>
      <c r="G49" s="7" t="str">
        <f t="shared" si="24"/>
        <v>Team 3</v>
      </c>
      <c r="H49" s="343">
        <v>3</v>
      </c>
      <c r="I49" s="29" t="s">
        <v>16</v>
      </c>
      <c r="J49" s="343">
        <v>1</v>
      </c>
      <c r="K49" s="7" t="str">
        <f t="shared" si="13"/>
        <v>Team 1</v>
      </c>
      <c r="L49" s="343">
        <v>2</v>
      </c>
      <c r="M49" s="7" t="str">
        <f t="shared" si="14"/>
        <v>Team 2</v>
      </c>
      <c r="N49" s="38"/>
      <c r="O49" s="39" t="s">
        <v>0</v>
      </c>
      <c r="P49" s="38"/>
      <c r="Q49" s="38"/>
      <c r="R49" s="39" t="s">
        <v>0</v>
      </c>
      <c r="S49" s="38"/>
      <c r="T49" s="38"/>
      <c r="U49" s="39" t="s">
        <v>0</v>
      </c>
      <c r="V49" s="38"/>
      <c r="W49" s="37"/>
      <c r="X49" s="37" t="str">
        <f t="shared" si="15"/>
        <v/>
      </c>
      <c r="Y49" s="39" t="s">
        <v>0</v>
      </c>
      <c r="Z49" s="37" t="str">
        <f t="shared" si="16"/>
        <v/>
      </c>
      <c r="AA49" s="37"/>
      <c r="AB49" s="37" t="str">
        <f t="shared" si="17"/>
        <v/>
      </c>
      <c r="AC49" s="39" t="s">
        <v>0</v>
      </c>
      <c r="AD49" s="37" t="str">
        <f t="shared" si="18"/>
        <v/>
      </c>
      <c r="AE49" s="56"/>
      <c r="AF49" s="37" t="str">
        <f t="shared" si="19"/>
        <v/>
      </c>
      <c r="AG49" s="39" t="s">
        <v>0</v>
      </c>
      <c r="AH49" s="37" t="str">
        <f t="shared" si="20"/>
        <v/>
      </c>
      <c r="AJ49" s="4" t="str">
        <f t="shared" si="23"/>
        <v>Ort</v>
      </c>
    </row>
    <row r="50" spans="1:40" ht="15.75" hidden="1">
      <c r="A50" s="3" t="str">
        <f t="shared" si="21"/>
        <v/>
      </c>
      <c r="B50" s="349" t="str">
        <f t="shared" si="22"/>
        <v>00.00.2018</v>
      </c>
      <c r="C50" s="352" t="s">
        <v>75</v>
      </c>
      <c r="D50" s="353">
        <v>11</v>
      </c>
      <c r="E50" s="354">
        <v>1</v>
      </c>
      <c r="F50" s="354" t="str">
        <f>IF(H50&lt;21,COUNTIF(H$6:H50,"&lt;21"),"")</f>
        <v/>
      </c>
      <c r="G50" s="7" t="str">
        <f t="shared" si="24"/>
        <v/>
      </c>
      <c r="H50" s="361">
        <v>21</v>
      </c>
      <c r="I50" s="29" t="s">
        <v>16</v>
      </c>
      <c r="J50" s="361">
        <v>21</v>
      </c>
      <c r="K50" s="7" t="str">
        <f t="shared" si="13"/>
        <v/>
      </c>
      <c r="L50" s="361">
        <v>21</v>
      </c>
      <c r="M50" s="355" t="str">
        <f t="shared" si="14"/>
        <v/>
      </c>
      <c r="N50" s="357"/>
      <c r="O50" s="358" t="s">
        <v>0</v>
      </c>
      <c r="P50" s="357"/>
      <c r="Q50" s="357"/>
      <c r="R50" s="358" t="s">
        <v>0</v>
      </c>
      <c r="S50" s="357"/>
      <c r="T50" s="357"/>
      <c r="U50" s="358" t="s">
        <v>0</v>
      </c>
      <c r="V50" s="357"/>
      <c r="W50" s="359"/>
      <c r="X50" s="359" t="str">
        <f t="shared" si="15"/>
        <v/>
      </c>
      <c r="Y50" s="358" t="s">
        <v>0</v>
      </c>
      <c r="Z50" s="359" t="str">
        <f t="shared" si="16"/>
        <v/>
      </c>
      <c r="AA50" s="359"/>
      <c r="AB50" s="359" t="str">
        <f t="shared" si="17"/>
        <v/>
      </c>
      <c r="AC50" s="358" t="s">
        <v>0</v>
      </c>
      <c r="AD50" s="359" t="str">
        <f t="shared" si="18"/>
        <v/>
      </c>
      <c r="AE50" s="360"/>
      <c r="AF50" s="359" t="str">
        <f t="shared" si="19"/>
        <v/>
      </c>
      <c r="AG50" s="358" t="s">
        <v>0</v>
      </c>
      <c r="AH50" s="359" t="str">
        <f t="shared" si="20"/>
        <v/>
      </c>
      <c r="AJ50" s="4" t="str">
        <f t="shared" si="23"/>
        <v>Ort</v>
      </c>
    </row>
    <row r="51" spans="1:40" ht="15.75" hidden="1">
      <c r="A51" s="3" t="str">
        <f t="shared" si="21"/>
        <v/>
      </c>
      <c r="B51" s="349" t="str">
        <f t="shared" si="22"/>
        <v>00.00.2018</v>
      </c>
      <c r="C51" s="40" t="s">
        <v>75</v>
      </c>
      <c r="D51" s="41">
        <v>12</v>
      </c>
      <c r="E51" s="3">
        <v>1</v>
      </c>
      <c r="F51" s="3" t="str">
        <f>IF(H51&lt;21,COUNTIF(H$6:H51,"&lt;21"),"")</f>
        <v/>
      </c>
      <c r="G51" s="7" t="str">
        <f t="shared" si="24"/>
        <v/>
      </c>
      <c r="H51" s="348">
        <v>21</v>
      </c>
      <c r="I51" s="29" t="s">
        <v>16</v>
      </c>
      <c r="J51" s="348">
        <v>21</v>
      </c>
      <c r="K51" s="7" t="str">
        <f t="shared" si="13"/>
        <v/>
      </c>
      <c r="L51" s="348">
        <v>21</v>
      </c>
      <c r="M51" s="7" t="str">
        <f t="shared" si="14"/>
        <v/>
      </c>
      <c r="N51" s="38"/>
      <c r="O51" s="39" t="s">
        <v>0</v>
      </c>
      <c r="P51" s="38"/>
      <c r="Q51" s="38"/>
      <c r="R51" s="39" t="s">
        <v>0</v>
      </c>
      <c r="S51" s="38"/>
      <c r="T51" s="38"/>
      <c r="U51" s="39" t="s">
        <v>0</v>
      </c>
      <c r="V51" s="38"/>
      <c r="W51" s="37"/>
      <c r="X51" s="37" t="str">
        <f t="shared" si="15"/>
        <v/>
      </c>
      <c r="Y51" s="39" t="s">
        <v>0</v>
      </c>
      <c r="Z51" s="37" t="str">
        <f t="shared" si="16"/>
        <v/>
      </c>
      <c r="AA51" s="37"/>
      <c r="AB51" s="37" t="str">
        <f t="shared" si="17"/>
        <v/>
      </c>
      <c r="AC51" s="39" t="s">
        <v>0</v>
      </c>
      <c r="AD51" s="37" t="str">
        <f t="shared" si="18"/>
        <v/>
      </c>
      <c r="AE51" s="56"/>
      <c r="AF51" s="37" t="str">
        <f t="shared" si="19"/>
        <v/>
      </c>
      <c r="AG51" s="39" t="s">
        <v>0</v>
      </c>
      <c r="AH51" s="37" t="str">
        <f t="shared" si="20"/>
        <v/>
      </c>
      <c r="AJ51" s="4" t="str">
        <f t="shared" si="23"/>
        <v>Ort</v>
      </c>
    </row>
    <row r="52" spans="1:40" ht="15.75" hidden="1">
      <c r="A52" s="3" t="str">
        <f t="shared" si="21"/>
        <v/>
      </c>
      <c r="B52" s="349" t="str">
        <f t="shared" si="22"/>
        <v>00.00.2018</v>
      </c>
      <c r="C52" s="352" t="s">
        <v>75</v>
      </c>
      <c r="D52" s="353">
        <v>13</v>
      </c>
      <c r="E52" s="354">
        <v>1</v>
      </c>
      <c r="F52" s="354" t="str">
        <f>IF(H52&lt;21,COUNTIF(H$6:H52,"&lt;21"),"")</f>
        <v/>
      </c>
      <c r="G52" s="7" t="str">
        <f t="shared" si="24"/>
        <v/>
      </c>
      <c r="H52" s="361">
        <v>21</v>
      </c>
      <c r="I52" s="29" t="s">
        <v>16</v>
      </c>
      <c r="J52" s="361">
        <v>21</v>
      </c>
      <c r="K52" s="7" t="str">
        <f t="shared" si="13"/>
        <v/>
      </c>
      <c r="L52" s="361">
        <v>21</v>
      </c>
      <c r="M52" s="355" t="str">
        <f t="shared" si="14"/>
        <v/>
      </c>
      <c r="N52" s="357"/>
      <c r="O52" s="358" t="s">
        <v>0</v>
      </c>
      <c r="P52" s="357"/>
      <c r="Q52" s="357"/>
      <c r="R52" s="358" t="s">
        <v>0</v>
      </c>
      <c r="S52" s="357"/>
      <c r="T52" s="357"/>
      <c r="U52" s="358" t="s">
        <v>0</v>
      </c>
      <c r="V52" s="357"/>
      <c r="W52" s="359"/>
      <c r="X52" s="359" t="str">
        <f t="shared" si="15"/>
        <v/>
      </c>
      <c r="Y52" s="358" t="s">
        <v>0</v>
      </c>
      <c r="Z52" s="359" t="str">
        <f t="shared" si="16"/>
        <v/>
      </c>
      <c r="AA52" s="359"/>
      <c r="AB52" s="359" t="str">
        <f t="shared" si="17"/>
        <v/>
      </c>
      <c r="AC52" s="358" t="s">
        <v>0</v>
      </c>
      <c r="AD52" s="359" t="str">
        <f t="shared" si="18"/>
        <v/>
      </c>
      <c r="AE52" s="360"/>
      <c r="AF52" s="359" t="str">
        <f t="shared" si="19"/>
        <v/>
      </c>
      <c r="AG52" s="358" t="s">
        <v>0</v>
      </c>
      <c r="AH52" s="359" t="str">
        <f t="shared" si="20"/>
        <v/>
      </c>
      <c r="AJ52" s="4" t="str">
        <f t="shared" si="23"/>
        <v>Ort</v>
      </c>
    </row>
    <row r="53" spans="1:40" s="30" customFormat="1" ht="15.75" hidden="1">
      <c r="A53" s="3" t="str">
        <f t="shared" si="21"/>
        <v/>
      </c>
      <c r="B53" s="349" t="str">
        <f t="shared" si="22"/>
        <v>00.00.2018</v>
      </c>
      <c r="C53" s="40" t="s">
        <v>75</v>
      </c>
      <c r="D53" s="41">
        <v>14</v>
      </c>
      <c r="E53" s="3">
        <v>1</v>
      </c>
      <c r="F53" s="3" t="str">
        <f>IF(H53&lt;21,COUNTIF(H$6:H53,"&lt;21"),"")</f>
        <v/>
      </c>
      <c r="G53" s="7" t="str">
        <f t="shared" si="24"/>
        <v/>
      </c>
      <c r="H53" s="348">
        <v>21</v>
      </c>
      <c r="I53" s="29" t="s">
        <v>16</v>
      </c>
      <c r="J53" s="348">
        <v>21</v>
      </c>
      <c r="K53" s="7" t="str">
        <f t="shared" si="13"/>
        <v/>
      </c>
      <c r="L53" s="348">
        <v>21</v>
      </c>
      <c r="M53" s="7" t="str">
        <f t="shared" si="14"/>
        <v/>
      </c>
      <c r="N53" s="38"/>
      <c r="O53" s="39" t="s">
        <v>0</v>
      </c>
      <c r="P53" s="38"/>
      <c r="Q53" s="38"/>
      <c r="R53" s="39" t="s">
        <v>0</v>
      </c>
      <c r="S53" s="38"/>
      <c r="T53" s="38"/>
      <c r="U53" s="39" t="s">
        <v>0</v>
      </c>
      <c r="V53" s="38"/>
      <c r="W53" s="37"/>
      <c r="X53" s="37" t="str">
        <f t="shared" si="15"/>
        <v/>
      </c>
      <c r="Y53" s="39" t="s">
        <v>0</v>
      </c>
      <c r="Z53" s="37" t="str">
        <f t="shared" si="16"/>
        <v/>
      </c>
      <c r="AA53" s="37"/>
      <c r="AB53" s="37" t="str">
        <f t="shared" si="17"/>
        <v/>
      </c>
      <c r="AC53" s="39" t="s">
        <v>0</v>
      </c>
      <c r="AD53" s="37" t="str">
        <f t="shared" si="18"/>
        <v/>
      </c>
      <c r="AE53" s="56"/>
      <c r="AF53" s="37" t="str">
        <f t="shared" si="19"/>
        <v/>
      </c>
      <c r="AG53" s="39" t="s">
        <v>0</v>
      </c>
      <c r="AH53" s="37" t="str">
        <f t="shared" si="20"/>
        <v/>
      </c>
      <c r="AJ53" s="4" t="str">
        <f t="shared" si="23"/>
        <v>Ort</v>
      </c>
      <c r="AM53" s="4"/>
      <c r="AN53" s="4"/>
    </row>
    <row r="54" spans="1:40" s="30" customFormat="1" ht="15.75" hidden="1">
      <c r="A54" s="3" t="str">
        <f t="shared" si="21"/>
        <v/>
      </c>
      <c r="B54" s="349" t="str">
        <f t="shared" si="22"/>
        <v>00.00.2018</v>
      </c>
      <c r="C54" s="40" t="s">
        <v>75</v>
      </c>
      <c r="D54" s="41"/>
      <c r="E54" s="3">
        <v>1</v>
      </c>
      <c r="F54" s="3" t="str">
        <f>IF(H54&lt;21,COUNTIF(H$6:H54,"&lt;21"),"")</f>
        <v/>
      </c>
      <c r="G54" s="7" t="str">
        <f t="shared" si="24"/>
        <v/>
      </c>
      <c r="H54" s="348">
        <v>21</v>
      </c>
      <c r="I54" s="29" t="s">
        <v>16</v>
      </c>
      <c r="J54" s="348">
        <v>21</v>
      </c>
      <c r="K54" s="7" t="str">
        <f t="shared" si="13"/>
        <v/>
      </c>
      <c r="L54" s="348">
        <v>21</v>
      </c>
      <c r="M54" s="7" t="str">
        <f t="shared" si="14"/>
        <v/>
      </c>
      <c r="N54" s="38"/>
      <c r="O54" s="39" t="s">
        <v>0</v>
      </c>
      <c r="P54" s="38"/>
      <c r="Q54" s="38"/>
      <c r="R54" s="39" t="s">
        <v>0</v>
      </c>
      <c r="S54" s="38"/>
      <c r="T54" s="38"/>
      <c r="U54" s="39" t="s">
        <v>0</v>
      </c>
      <c r="V54" s="38"/>
      <c r="W54" s="37"/>
      <c r="X54" s="37" t="str">
        <f t="shared" si="15"/>
        <v/>
      </c>
      <c r="Y54" s="39" t="s">
        <v>0</v>
      </c>
      <c r="Z54" s="37" t="str">
        <f t="shared" si="16"/>
        <v/>
      </c>
      <c r="AA54" s="37"/>
      <c r="AB54" s="37" t="str">
        <f t="shared" si="17"/>
        <v/>
      </c>
      <c r="AC54" s="39" t="s">
        <v>0</v>
      </c>
      <c r="AD54" s="37" t="str">
        <f t="shared" si="18"/>
        <v/>
      </c>
      <c r="AE54" s="56"/>
      <c r="AF54" s="37" t="str">
        <f t="shared" si="19"/>
        <v/>
      </c>
      <c r="AG54" s="39" t="s">
        <v>0</v>
      </c>
      <c r="AH54" s="37" t="str">
        <f t="shared" si="20"/>
        <v/>
      </c>
      <c r="AJ54" s="4" t="str">
        <f t="shared" si="23"/>
        <v>Ort</v>
      </c>
    </row>
    <row r="55" spans="1:40" ht="15.75" hidden="1">
      <c r="A55" s="3" t="str">
        <f t="shared" si="21"/>
        <v/>
      </c>
      <c r="B55" s="349" t="str">
        <f t="shared" si="22"/>
        <v>00.00.2018</v>
      </c>
      <c r="C55" s="40" t="s">
        <v>75</v>
      </c>
      <c r="D55" s="41"/>
      <c r="E55" s="3">
        <v>1</v>
      </c>
      <c r="F55" s="3" t="str">
        <f>IF(H55&lt;21,COUNTIF(H$6:H55,"&lt;21"),"")</f>
        <v/>
      </c>
      <c r="G55" s="7" t="str">
        <f t="shared" si="24"/>
        <v/>
      </c>
      <c r="H55" s="348">
        <v>21</v>
      </c>
      <c r="I55" s="29" t="s">
        <v>16</v>
      </c>
      <c r="J55" s="348">
        <v>21</v>
      </c>
      <c r="K55" s="7" t="str">
        <f t="shared" si="13"/>
        <v/>
      </c>
      <c r="L55" s="348">
        <v>21</v>
      </c>
      <c r="M55" s="7" t="str">
        <f t="shared" si="14"/>
        <v/>
      </c>
      <c r="N55" s="38"/>
      <c r="O55" s="39" t="s">
        <v>0</v>
      </c>
      <c r="P55" s="38"/>
      <c r="Q55" s="38"/>
      <c r="R55" s="39" t="s">
        <v>0</v>
      </c>
      <c r="S55" s="38"/>
      <c r="T55" s="38"/>
      <c r="U55" s="39" t="s">
        <v>0</v>
      </c>
      <c r="V55" s="38"/>
      <c r="W55" s="37"/>
      <c r="X55" s="37" t="str">
        <f t="shared" si="15"/>
        <v/>
      </c>
      <c r="Y55" s="39" t="s">
        <v>0</v>
      </c>
      <c r="Z55" s="37" t="str">
        <f t="shared" si="16"/>
        <v/>
      </c>
      <c r="AA55" s="37"/>
      <c r="AB55" s="37" t="str">
        <f t="shared" si="17"/>
        <v/>
      </c>
      <c r="AC55" s="39" t="s">
        <v>0</v>
      </c>
      <c r="AD55" s="37" t="str">
        <f t="shared" si="18"/>
        <v/>
      </c>
      <c r="AE55" s="56"/>
      <c r="AF55" s="37" t="str">
        <f t="shared" si="19"/>
        <v/>
      </c>
      <c r="AG55" s="39" t="s">
        <v>0</v>
      </c>
      <c r="AH55" s="37" t="str">
        <f t="shared" si="20"/>
        <v/>
      </c>
      <c r="AJ55" s="4" t="str">
        <f t="shared" si="23"/>
        <v>Ort</v>
      </c>
      <c r="AM55" s="30"/>
      <c r="AN55" s="30"/>
    </row>
    <row r="56" spans="1:40" ht="15.75" hidden="1">
      <c r="A56" s="3" t="str">
        <f t="shared" si="21"/>
        <v/>
      </c>
      <c r="B56" s="349" t="str">
        <f t="shared" si="22"/>
        <v>00.00.2018</v>
      </c>
      <c r="C56" s="40" t="s">
        <v>75</v>
      </c>
      <c r="D56" s="41"/>
      <c r="E56" s="3">
        <v>1</v>
      </c>
      <c r="F56" s="3" t="str">
        <f>IF(H56&lt;21,COUNTIF(H$6:H56,"&lt;21"),"")</f>
        <v/>
      </c>
      <c r="G56" s="7" t="str">
        <f t="shared" si="24"/>
        <v/>
      </c>
      <c r="H56" s="348">
        <v>21</v>
      </c>
      <c r="I56" s="29" t="s">
        <v>16</v>
      </c>
      <c r="J56" s="348">
        <v>21</v>
      </c>
      <c r="K56" s="7" t="str">
        <f t="shared" si="13"/>
        <v/>
      </c>
      <c r="L56" s="348">
        <v>21</v>
      </c>
      <c r="M56" s="7" t="str">
        <f t="shared" si="14"/>
        <v/>
      </c>
      <c r="N56" s="38"/>
      <c r="O56" s="39" t="s">
        <v>0</v>
      </c>
      <c r="P56" s="38"/>
      <c r="Q56" s="38"/>
      <c r="R56" s="39" t="s">
        <v>0</v>
      </c>
      <c r="S56" s="38"/>
      <c r="T56" s="38"/>
      <c r="U56" s="39" t="s">
        <v>0</v>
      </c>
      <c r="V56" s="38"/>
      <c r="W56" s="37"/>
      <c r="X56" s="37" t="str">
        <f t="shared" si="15"/>
        <v/>
      </c>
      <c r="Y56" s="39" t="s">
        <v>0</v>
      </c>
      <c r="Z56" s="37" t="str">
        <f t="shared" si="16"/>
        <v/>
      </c>
      <c r="AA56" s="37"/>
      <c r="AB56" s="37" t="str">
        <f t="shared" si="17"/>
        <v/>
      </c>
      <c r="AC56" s="39" t="s">
        <v>0</v>
      </c>
      <c r="AD56" s="37" t="str">
        <f t="shared" si="18"/>
        <v/>
      </c>
      <c r="AE56" s="56"/>
      <c r="AF56" s="37" t="str">
        <f t="shared" si="19"/>
        <v/>
      </c>
      <c r="AG56" s="39" t="s">
        <v>0</v>
      </c>
      <c r="AH56" s="37" t="str">
        <f t="shared" si="20"/>
        <v/>
      </c>
      <c r="AJ56" s="4" t="str">
        <f t="shared" si="23"/>
        <v>Ort</v>
      </c>
    </row>
    <row r="57" spans="1:40" ht="15.75" hidden="1">
      <c r="A57" s="3" t="str">
        <f t="shared" si="21"/>
        <v/>
      </c>
      <c r="B57" s="349" t="str">
        <f t="shared" si="22"/>
        <v>00.00.2018</v>
      </c>
      <c r="C57" s="40" t="s">
        <v>75</v>
      </c>
      <c r="D57" s="41"/>
      <c r="E57" s="3">
        <v>1</v>
      </c>
      <c r="F57" s="3" t="str">
        <f>IF(H57&lt;21,COUNTIF(H$6:H57,"&lt;21"),"")</f>
        <v/>
      </c>
      <c r="G57" s="7" t="str">
        <f t="shared" si="24"/>
        <v/>
      </c>
      <c r="H57" s="348">
        <v>21</v>
      </c>
      <c r="I57" s="29" t="s">
        <v>16</v>
      </c>
      <c r="J57" s="348">
        <v>21</v>
      </c>
      <c r="K57" s="7" t="str">
        <f t="shared" si="13"/>
        <v/>
      </c>
      <c r="L57" s="348">
        <v>21</v>
      </c>
      <c r="M57" s="7" t="str">
        <f t="shared" si="14"/>
        <v/>
      </c>
      <c r="N57" s="38"/>
      <c r="O57" s="39" t="s">
        <v>0</v>
      </c>
      <c r="P57" s="38"/>
      <c r="Q57" s="38"/>
      <c r="R57" s="39" t="s">
        <v>0</v>
      </c>
      <c r="S57" s="38"/>
      <c r="T57" s="38"/>
      <c r="U57" s="39" t="s">
        <v>0</v>
      </c>
      <c r="V57" s="38"/>
      <c r="W57" s="37"/>
      <c r="X57" s="37" t="str">
        <f t="shared" si="15"/>
        <v/>
      </c>
      <c r="Y57" s="39" t="s">
        <v>0</v>
      </c>
      <c r="Z57" s="37" t="str">
        <f t="shared" si="16"/>
        <v/>
      </c>
      <c r="AA57" s="37"/>
      <c r="AB57" s="37" t="str">
        <f t="shared" si="17"/>
        <v/>
      </c>
      <c r="AC57" s="39" t="s">
        <v>0</v>
      </c>
      <c r="AD57" s="37" t="str">
        <f t="shared" si="18"/>
        <v/>
      </c>
      <c r="AE57" s="56"/>
      <c r="AF57" s="37" t="str">
        <f t="shared" si="19"/>
        <v/>
      </c>
      <c r="AG57" s="39" t="s">
        <v>0</v>
      </c>
      <c r="AH57" s="37" t="str">
        <f t="shared" si="20"/>
        <v/>
      </c>
      <c r="AJ57" s="4" t="str">
        <f t="shared" si="23"/>
        <v>Ort</v>
      </c>
    </row>
    <row r="58" spans="1:40" ht="15.75" hidden="1">
      <c r="A58" s="3" t="str">
        <f t="shared" si="21"/>
        <v/>
      </c>
      <c r="B58" s="349" t="str">
        <f t="shared" si="22"/>
        <v>00.00.2018</v>
      </c>
      <c r="C58" s="40" t="s">
        <v>75</v>
      </c>
      <c r="D58" s="41"/>
      <c r="E58" s="3">
        <v>1</v>
      </c>
      <c r="F58" s="3" t="str">
        <f>IF(H58&lt;21,COUNTIF(H$6:H58,"&lt;21"),"")</f>
        <v/>
      </c>
      <c r="G58" s="7" t="str">
        <f t="shared" si="24"/>
        <v/>
      </c>
      <c r="H58" s="348">
        <v>21</v>
      </c>
      <c r="I58" s="29" t="s">
        <v>16</v>
      </c>
      <c r="J58" s="348">
        <v>21</v>
      </c>
      <c r="K58" s="7" t="str">
        <f t="shared" si="13"/>
        <v/>
      </c>
      <c r="L58" s="348">
        <v>21</v>
      </c>
      <c r="M58" s="7" t="str">
        <f t="shared" si="14"/>
        <v/>
      </c>
      <c r="N58" s="38"/>
      <c r="O58" s="39" t="s">
        <v>0</v>
      </c>
      <c r="P58" s="38"/>
      <c r="Q58" s="38"/>
      <c r="R58" s="39" t="s">
        <v>0</v>
      </c>
      <c r="S58" s="38"/>
      <c r="T58" s="38"/>
      <c r="U58" s="39" t="s">
        <v>0</v>
      </c>
      <c r="V58" s="38"/>
      <c r="W58" s="37"/>
      <c r="X58" s="37" t="str">
        <f t="shared" si="15"/>
        <v/>
      </c>
      <c r="Y58" s="39" t="s">
        <v>0</v>
      </c>
      <c r="Z58" s="37" t="str">
        <f t="shared" si="16"/>
        <v/>
      </c>
      <c r="AA58" s="37"/>
      <c r="AB58" s="37" t="str">
        <f t="shared" si="17"/>
        <v/>
      </c>
      <c r="AC58" s="39" t="s">
        <v>0</v>
      </c>
      <c r="AD58" s="37" t="str">
        <f t="shared" si="18"/>
        <v/>
      </c>
      <c r="AE58" s="56"/>
      <c r="AF58" s="37" t="str">
        <f t="shared" si="19"/>
        <v/>
      </c>
      <c r="AG58" s="39" t="s">
        <v>0</v>
      </c>
      <c r="AH58" s="37" t="str">
        <f t="shared" si="20"/>
        <v/>
      </c>
      <c r="AJ58" s="4" t="str">
        <f t="shared" si="23"/>
        <v>Ort</v>
      </c>
    </row>
    <row r="59" spans="1:40" ht="15.75" hidden="1">
      <c r="A59" s="3" t="str">
        <f t="shared" si="21"/>
        <v/>
      </c>
      <c r="B59" s="349" t="str">
        <f t="shared" si="22"/>
        <v>00.00.2018</v>
      </c>
      <c r="C59" s="40" t="s">
        <v>75</v>
      </c>
      <c r="D59" s="41"/>
      <c r="E59" s="3">
        <v>1</v>
      </c>
      <c r="F59" s="3" t="str">
        <f>IF(H59&lt;21,COUNTIF(H$6:H59,"&lt;21"),"")</f>
        <v/>
      </c>
      <c r="G59" s="7" t="str">
        <f t="shared" si="24"/>
        <v/>
      </c>
      <c r="H59" s="348">
        <v>21</v>
      </c>
      <c r="I59" s="29" t="s">
        <v>16</v>
      </c>
      <c r="J59" s="348">
        <v>21</v>
      </c>
      <c r="K59" s="7" t="str">
        <f t="shared" si="13"/>
        <v/>
      </c>
      <c r="L59" s="348">
        <v>21</v>
      </c>
      <c r="M59" s="7" t="str">
        <f t="shared" si="14"/>
        <v/>
      </c>
      <c r="N59" s="38"/>
      <c r="O59" s="39" t="s">
        <v>0</v>
      </c>
      <c r="P59" s="38"/>
      <c r="Q59" s="38"/>
      <c r="R59" s="39" t="s">
        <v>0</v>
      </c>
      <c r="S59" s="38"/>
      <c r="T59" s="38"/>
      <c r="U59" s="39" t="s">
        <v>0</v>
      </c>
      <c r="V59" s="38"/>
      <c r="W59" s="37"/>
      <c r="X59" s="37" t="str">
        <f t="shared" si="15"/>
        <v/>
      </c>
      <c r="Y59" s="39" t="s">
        <v>0</v>
      </c>
      <c r="Z59" s="37" t="str">
        <f t="shared" si="16"/>
        <v/>
      </c>
      <c r="AA59" s="37"/>
      <c r="AB59" s="37" t="str">
        <f t="shared" si="17"/>
        <v/>
      </c>
      <c r="AC59" s="39" t="s">
        <v>0</v>
      </c>
      <c r="AD59" s="37" t="str">
        <f t="shared" si="18"/>
        <v/>
      </c>
      <c r="AE59" s="56"/>
      <c r="AF59" s="37" t="str">
        <f t="shared" si="19"/>
        <v/>
      </c>
      <c r="AG59" s="39" t="s">
        <v>0</v>
      </c>
      <c r="AH59" s="37" t="str">
        <f t="shared" si="20"/>
        <v/>
      </c>
      <c r="AJ59" s="4" t="str">
        <f t="shared" si="23"/>
        <v>Ort</v>
      </c>
    </row>
    <row r="60" spans="1:40" ht="15.75" hidden="1">
      <c r="A60" s="3" t="str">
        <f t="shared" si="21"/>
        <v/>
      </c>
      <c r="B60" s="349" t="str">
        <f t="shared" si="22"/>
        <v>00.00.2018</v>
      </c>
      <c r="C60" s="40" t="s">
        <v>75</v>
      </c>
      <c r="D60" s="41"/>
      <c r="E60" s="3">
        <v>1</v>
      </c>
      <c r="F60" s="3" t="str">
        <f>IF(H60&lt;21,COUNTIF(H$6:H60,"&lt;21"),"")</f>
        <v/>
      </c>
      <c r="G60" s="7" t="str">
        <f t="shared" si="24"/>
        <v/>
      </c>
      <c r="H60" s="348">
        <v>21</v>
      </c>
      <c r="I60" s="29" t="s">
        <v>16</v>
      </c>
      <c r="J60" s="348">
        <v>21</v>
      </c>
      <c r="K60" s="7" t="str">
        <f t="shared" si="13"/>
        <v/>
      </c>
      <c r="L60" s="348">
        <v>21</v>
      </c>
      <c r="M60" s="7" t="str">
        <f t="shared" si="14"/>
        <v/>
      </c>
      <c r="N60" s="38"/>
      <c r="O60" s="39" t="s">
        <v>0</v>
      </c>
      <c r="P60" s="38"/>
      <c r="Q60" s="38"/>
      <c r="R60" s="39" t="s">
        <v>0</v>
      </c>
      <c r="S60" s="38"/>
      <c r="T60" s="38"/>
      <c r="U60" s="39" t="s">
        <v>0</v>
      </c>
      <c r="V60" s="38"/>
      <c r="W60" s="37"/>
      <c r="X60" s="37" t="str">
        <f t="shared" si="15"/>
        <v/>
      </c>
      <c r="Y60" s="39" t="s">
        <v>0</v>
      </c>
      <c r="Z60" s="37" t="str">
        <f t="shared" si="16"/>
        <v/>
      </c>
      <c r="AA60" s="37"/>
      <c r="AB60" s="37" t="str">
        <f t="shared" si="17"/>
        <v/>
      </c>
      <c r="AC60" s="39" t="s">
        <v>0</v>
      </c>
      <c r="AD60" s="37" t="str">
        <f t="shared" si="18"/>
        <v/>
      </c>
      <c r="AE60" s="56"/>
      <c r="AF60" s="37" t="str">
        <f t="shared" si="19"/>
        <v/>
      </c>
      <c r="AG60" s="39" t="s">
        <v>0</v>
      </c>
      <c r="AH60" s="37" t="str">
        <f t="shared" si="20"/>
        <v/>
      </c>
      <c r="AJ60" s="4" t="str">
        <f t="shared" si="23"/>
        <v>Ort</v>
      </c>
    </row>
    <row r="61" spans="1:40" ht="15.75" hidden="1">
      <c r="A61" s="3" t="str">
        <f t="shared" si="21"/>
        <v/>
      </c>
      <c r="B61" s="349" t="str">
        <f t="shared" si="22"/>
        <v>00.00.2018</v>
      </c>
      <c r="C61" s="40" t="s">
        <v>75</v>
      </c>
      <c r="D61" s="41"/>
      <c r="E61" s="3">
        <v>1</v>
      </c>
      <c r="F61" s="3" t="str">
        <f>IF(H61&lt;21,COUNTIF(H$6:H61,"&lt;21"),"")</f>
        <v/>
      </c>
      <c r="G61" s="7" t="str">
        <f t="shared" si="24"/>
        <v/>
      </c>
      <c r="H61" s="348">
        <v>21</v>
      </c>
      <c r="I61" s="29" t="s">
        <v>16</v>
      </c>
      <c r="J61" s="348">
        <v>21</v>
      </c>
      <c r="K61" s="7" t="str">
        <f t="shared" si="13"/>
        <v/>
      </c>
      <c r="L61" s="348">
        <v>21</v>
      </c>
      <c r="M61" s="7" t="str">
        <f t="shared" si="14"/>
        <v/>
      </c>
      <c r="N61" s="38"/>
      <c r="O61" s="39" t="s">
        <v>0</v>
      </c>
      <c r="P61" s="38"/>
      <c r="Q61" s="38"/>
      <c r="R61" s="39" t="s">
        <v>0</v>
      </c>
      <c r="S61" s="38"/>
      <c r="T61" s="38"/>
      <c r="U61" s="39" t="s">
        <v>0</v>
      </c>
      <c r="V61" s="38"/>
      <c r="W61" s="37"/>
      <c r="X61" s="37" t="str">
        <f t="shared" si="15"/>
        <v/>
      </c>
      <c r="Y61" s="39" t="s">
        <v>0</v>
      </c>
      <c r="Z61" s="37" t="str">
        <f t="shared" si="16"/>
        <v/>
      </c>
      <c r="AA61" s="37"/>
      <c r="AB61" s="37" t="str">
        <f t="shared" si="17"/>
        <v/>
      </c>
      <c r="AC61" s="39" t="s">
        <v>0</v>
      </c>
      <c r="AD61" s="37" t="str">
        <f t="shared" si="18"/>
        <v/>
      </c>
      <c r="AE61" s="56"/>
      <c r="AF61" s="37" t="str">
        <f t="shared" si="19"/>
        <v/>
      </c>
      <c r="AG61" s="39" t="s">
        <v>0</v>
      </c>
      <c r="AH61" s="37" t="str">
        <f t="shared" si="20"/>
        <v/>
      </c>
      <c r="AJ61" s="4" t="str">
        <f t="shared" si="23"/>
        <v>Ort</v>
      </c>
    </row>
    <row r="62" spans="1:40" ht="15.75" hidden="1">
      <c r="A62" s="3" t="str">
        <f t="shared" si="21"/>
        <v/>
      </c>
      <c r="B62" s="349" t="str">
        <f t="shared" si="22"/>
        <v>00.00.2018</v>
      </c>
      <c r="C62" s="40" t="s">
        <v>75</v>
      </c>
      <c r="D62" s="41"/>
      <c r="E62" s="3">
        <v>1</v>
      </c>
      <c r="F62" s="3" t="str">
        <f>IF(H62&lt;21,COUNTIF(H$6:H62,"&lt;21"),"")</f>
        <v/>
      </c>
      <c r="G62" s="7" t="str">
        <f t="shared" si="24"/>
        <v/>
      </c>
      <c r="H62" s="348">
        <v>21</v>
      </c>
      <c r="I62" s="29" t="s">
        <v>16</v>
      </c>
      <c r="J62" s="348">
        <v>21</v>
      </c>
      <c r="K62" s="7" t="str">
        <f t="shared" si="13"/>
        <v/>
      </c>
      <c r="L62" s="348">
        <v>21</v>
      </c>
      <c r="M62" s="7" t="str">
        <f t="shared" si="14"/>
        <v/>
      </c>
      <c r="N62" s="38"/>
      <c r="O62" s="39" t="s">
        <v>0</v>
      </c>
      <c r="P62" s="38"/>
      <c r="Q62" s="38"/>
      <c r="R62" s="39" t="s">
        <v>0</v>
      </c>
      <c r="S62" s="38"/>
      <c r="T62" s="38"/>
      <c r="U62" s="39" t="s">
        <v>0</v>
      </c>
      <c r="V62" s="38"/>
      <c r="W62" s="37"/>
      <c r="X62" s="37" t="str">
        <f t="shared" si="15"/>
        <v/>
      </c>
      <c r="Y62" s="39" t="s">
        <v>0</v>
      </c>
      <c r="Z62" s="37" t="str">
        <f t="shared" si="16"/>
        <v/>
      </c>
      <c r="AA62" s="37"/>
      <c r="AB62" s="37" t="str">
        <f t="shared" si="17"/>
        <v/>
      </c>
      <c r="AC62" s="39" t="s">
        <v>0</v>
      </c>
      <c r="AD62" s="37" t="str">
        <f t="shared" si="18"/>
        <v/>
      </c>
      <c r="AE62" s="56"/>
      <c r="AF62" s="37" t="str">
        <f t="shared" si="19"/>
        <v/>
      </c>
      <c r="AG62" s="39" t="s">
        <v>0</v>
      </c>
      <c r="AH62" s="37" t="str">
        <f t="shared" si="20"/>
        <v/>
      </c>
      <c r="AJ62" s="4" t="str">
        <f t="shared" si="23"/>
        <v>Ort</v>
      </c>
    </row>
    <row r="63" spans="1:40" ht="15.75" hidden="1">
      <c r="A63" s="3" t="str">
        <f t="shared" si="21"/>
        <v/>
      </c>
      <c r="B63" s="349" t="str">
        <f t="shared" si="22"/>
        <v>00.00.2018</v>
      </c>
      <c r="C63" s="40" t="s">
        <v>75</v>
      </c>
      <c r="D63" s="41"/>
      <c r="E63" s="3">
        <v>1</v>
      </c>
      <c r="F63" s="3" t="str">
        <f>IF(H63&lt;21,COUNTIF(H$6:H63,"&lt;21"),"")</f>
        <v/>
      </c>
      <c r="G63" s="7" t="str">
        <f t="shared" si="24"/>
        <v/>
      </c>
      <c r="H63" s="348">
        <v>21</v>
      </c>
      <c r="I63" s="29" t="s">
        <v>16</v>
      </c>
      <c r="J63" s="348">
        <v>21</v>
      </c>
      <c r="K63" s="7" t="str">
        <f t="shared" si="13"/>
        <v/>
      </c>
      <c r="L63" s="348">
        <v>21</v>
      </c>
      <c r="M63" s="7" t="str">
        <f t="shared" si="14"/>
        <v/>
      </c>
      <c r="N63" s="38"/>
      <c r="O63" s="39" t="s">
        <v>0</v>
      </c>
      <c r="P63" s="38"/>
      <c r="Q63" s="38"/>
      <c r="R63" s="39" t="s">
        <v>0</v>
      </c>
      <c r="S63" s="38"/>
      <c r="T63" s="38"/>
      <c r="U63" s="39" t="s">
        <v>0</v>
      </c>
      <c r="V63" s="38"/>
      <c r="W63" s="37"/>
      <c r="X63" s="37" t="str">
        <f t="shared" si="15"/>
        <v/>
      </c>
      <c r="Y63" s="39" t="s">
        <v>0</v>
      </c>
      <c r="Z63" s="37" t="str">
        <f t="shared" si="16"/>
        <v/>
      </c>
      <c r="AA63" s="37"/>
      <c r="AB63" s="37" t="str">
        <f t="shared" si="17"/>
        <v/>
      </c>
      <c r="AC63" s="39" t="s">
        <v>0</v>
      </c>
      <c r="AD63" s="37" t="str">
        <f t="shared" si="18"/>
        <v/>
      </c>
      <c r="AE63" s="56"/>
      <c r="AF63" s="37" t="str">
        <f t="shared" si="19"/>
        <v/>
      </c>
      <c r="AG63" s="39" t="s">
        <v>0</v>
      </c>
      <c r="AH63" s="37" t="str">
        <f t="shared" si="20"/>
        <v/>
      </c>
      <c r="AJ63" s="4" t="str">
        <f t="shared" si="23"/>
        <v>Ort</v>
      </c>
    </row>
    <row r="64" spans="1:40" ht="15.75" hidden="1">
      <c r="A64" s="3" t="str">
        <f t="shared" si="21"/>
        <v/>
      </c>
      <c r="B64" s="349" t="str">
        <f t="shared" si="22"/>
        <v>00.00.2018</v>
      </c>
      <c r="C64" s="40" t="s">
        <v>75</v>
      </c>
      <c r="D64" s="41"/>
      <c r="E64" s="3">
        <v>1</v>
      </c>
      <c r="F64" s="3" t="str">
        <f>IF(H64&lt;21,COUNTIF(H$6:H64,"&lt;21"),"")</f>
        <v/>
      </c>
      <c r="G64" s="7" t="str">
        <f t="shared" si="24"/>
        <v/>
      </c>
      <c r="H64" s="348">
        <v>21</v>
      </c>
      <c r="I64" s="29" t="s">
        <v>16</v>
      </c>
      <c r="J64" s="348">
        <v>21</v>
      </c>
      <c r="K64" s="7" t="str">
        <f t="shared" si="13"/>
        <v/>
      </c>
      <c r="L64" s="348">
        <v>21</v>
      </c>
      <c r="M64" s="7" t="str">
        <f t="shared" si="14"/>
        <v/>
      </c>
      <c r="N64" s="38"/>
      <c r="O64" s="39" t="s">
        <v>0</v>
      </c>
      <c r="P64" s="38"/>
      <c r="Q64" s="38"/>
      <c r="R64" s="39" t="s">
        <v>0</v>
      </c>
      <c r="S64" s="38"/>
      <c r="T64" s="38"/>
      <c r="U64" s="39" t="s">
        <v>0</v>
      </c>
      <c r="V64" s="38"/>
      <c r="W64" s="37"/>
      <c r="X64" s="37" t="str">
        <f t="shared" si="15"/>
        <v/>
      </c>
      <c r="Y64" s="39" t="s">
        <v>0</v>
      </c>
      <c r="Z64" s="37" t="str">
        <f t="shared" si="16"/>
        <v/>
      </c>
      <c r="AA64" s="37"/>
      <c r="AB64" s="37" t="str">
        <f t="shared" si="17"/>
        <v/>
      </c>
      <c r="AC64" s="39" t="s">
        <v>0</v>
      </c>
      <c r="AD64" s="37" t="str">
        <f t="shared" si="18"/>
        <v/>
      </c>
      <c r="AE64" s="56"/>
      <c r="AF64" s="37" t="str">
        <f t="shared" si="19"/>
        <v/>
      </c>
      <c r="AG64" s="39" t="s">
        <v>0</v>
      </c>
      <c r="AH64" s="37" t="str">
        <f t="shared" si="20"/>
        <v/>
      </c>
      <c r="AJ64" s="4" t="str">
        <f t="shared" si="23"/>
        <v>Ort</v>
      </c>
    </row>
    <row r="65" spans="1:73" ht="15.75" hidden="1">
      <c r="A65" s="3" t="str">
        <f t="shared" si="21"/>
        <v/>
      </c>
      <c r="B65" s="349" t="str">
        <f t="shared" si="22"/>
        <v>00.00.2018</v>
      </c>
      <c r="C65" s="40" t="s">
        <v>75</v>
      </c>
      <c r="D65" s="41"/>
      <c r="E65" s="3">
        <v>1</v>
      </c>
      <c r="F65" s="3" t="str">
        <f>IF(H65&lt;21,COUNTIF(H$6:H65,"&lt;21"),"")</f>
        <v/>
      </c>
      <c r="G65" s="7" t="str">
        <f t="shared" si="24"/>
        <v/>
      </c>
      <c r="H65" s="348">
        <v>21</v>
      </c>
      <c r="I65" s="29" t="s">
        <v>16</v>
      </c>
      <c r="J65" s="348">
        <v>21</v>
      </c>
      <c r="K65" s="7" t="str">
        <f t="shared" si="13"/>
        <v/>
      </c>
      <c r="L65" s="348">
        <v>21</v>
      </c>
      <c r="M65" s="7" t="str">
        <f t="shared" si="14"/>
        <v/>
      </c>
      <c r="N65" s="38"/>
      <c r="O65" s="39" t="s">
        <v>0</v>
      </c>
      <c r="P65" s="38"/>
      <c r="Q65" s="38"/>
      <c r="R65" s="39" t="s">
        <v>0</v>
      </c>
      <c r="S65" s="38"/>
      <c r="T65" s="38"/>
      <c r="U65" s="39" t="s">
        <v>0</v>
      </c>
      <c r="V65" s="38"/>
      <c r="W65" s="37"/>
      <c r="X65" s="37" t="str">
        <f t="shared" si="15"/>
        <v/>
      </c>
      <c r="Y65" s="39" t="s">
        <v>0</v>
      </c>
      <c r="Z65" s="37" t="str">
        <f t="shared" si="16"/>
        <v/>
      </c>
      <c r="AA65" s="37"/>
      <c r="AB65" s="37" t="str">
        <f t="shared" si="17"/>
        <v/>
      </c>
      <c r="AC65" s="39" t="s">
        <v>0</v>
      </c>
      <c r="AD65" s="37" t="str">
        <f t="shared" si="18"/>
        <v/>
      </c>
      <c r="AE65" s="56"/>
      <c r="AF65" s="37" t="str">
        <f t="shared" si="19"/>
        <v/>
      </c>
      <c r="AG65" s="39" t="s">
        <v>0</v>
      </c>
      <c r="AH65" s="37" t="str">
        <f t="shared" si="20"/>
        <v/>
      </c>
      <c r="AJ65" s="4" t="str">
        <f t="shared" si="23"/>
        <v>Ort</v>
      </c>
    </row>
    <row r="66" spans="1:73" ht="15.75" hidden="1">
      <c r="A66" s="3" t="str">
        <f t="shared" si="21"/>
        <v/>
      </c>
      <c r="B66" s="349" t="str">
        <f t="shared" si="22"/>
        <v>00.00.2018</v>
      </c>
      <c r="C66" s="40" t="s">
        <v>75</v>
      </c>
      <c r="D66" s="41"/>
      <c r="E66" s="3">
        <v>1</v>
      </c>
      <c r="F66" s="3" t="str">
        <f>IF(H66&lt;21,COUNTIF(H$6:H66,"&lt;21"),"")</f>
        <v/>
      </c>
      <c r="G66" s="7" t="str">
        <f t="shared" si="24"/>
        <v/>
      </c>
      <c r="H66" s="348">
        <v>21</v>
      </c>
      <c r="I66" s="29" t="s">
        <v>16</v>
      </c>
      <c r="J66" s="348">
        <v>21</v>
      </c>
      <c r="K66" s="7" t="str">
        <f t="shared" si="13"/>
        <v/>
      </c>
      <c r="L66" s="348">
        <v>21</v>
      </c>
      <c r="M66" s="7" t="str">
        <f t="shared" si="14"/>
        <v/>
      </c>
      <c r="N66" s="38"/>
      <c r="O66" s="39" t="s">
        <v>0</v>
      </c>
      <c r="P66" s="38"/>
      <c r="Q66" s="38"/>
      <c r="R66" s="39" t="s">
        <v>0</v>
      </c>
      <c r="S66" s="38"/>
      <c r="T66" s="38"/>
      <c r="U66" s="39" t="s">
        <v>0</v>
      </c>
      <c r="V66" s="38"/>
      <c r="W66" s="37"/>
      <c r="X66" s="37" t="str">
        <f t="shared" si="15"/>
        <v/>
      </c>
      <c r="Y66" s="39" t="s">
        <v>0</v>
      </c>
      <c r="Z66" s="37" t="str">
        <f t="shared" si="16"/>
        <v/>
      </c>
      <c r="AA66" s="37"/>
      <c r="AB66" s="37" t="str">
        <f t="shared" si="17"/>
        <v/>
      </c>
      <c r="AC66" s="39" t="s">
        <v>0</v>
      </c>
      <c r="AD66" s="37" t="str">
        <f t="shared" si="18"/>
        <v/>
      </c>
      <c r="AE66" s="56"/>
      <c r="AF66" s="37" t="str">
        <f t="shared" si="19"/>
        <v/>
      </c>
      <c r="AG66" s="39" t="s">
        <v>0</v>
      </c>
      <c r="AH66" s="37" t="str">
        <f t="shared" si="20"/>
        <v/>
      </c>
      <c r="AJ66" s="4" t="str">
        <f t="shared" si="23"/>
        <v>Ort</v>
      </c>
    </row>
    <row r="67" spans="1:73" ht="15.75" hidden="1">
      <c r="A67" s="3" t="str">
        <f t="shared" si="21"/>
        <v/>
      </c>
      <c r="B67" s="349" t="str">
        <f t="shared" si="22"/>
        <v>00.00.2018</v>
      </c>
      <c r="C67" s="40" t="s">
        <v>75</v>
      </c>
      <c r="D67" s="41"/>
      <c r="E67" s="3">
        <v>1</v>
      </c>
      <c r="F67" s="3" t="str">
        <f>IF(H67&lt;21,COUNTIF(H$6:H67,"&lt;21"),"")</f>
        <v/>
      </c>
      <c r="G67" s="7" t="str">
        <f t="shared" si="24"/>
        <v/>
      </c>
      <c r="H67" s="348">
        <v>21</v>
      </c>
      <c r="I67" s="29" t="s">
        <v>16</v>
      </c>
      <c r="J67" s="348">
        <v>21</v>
      </c>
      <c r="K67" s="7" t="str">
        <f t="shared" si="13"/>
        <v/>
      </c>
      <c r="L67" s="348">
        <v>21</v>
      </c>
      <c r="M67" s="7" t="str">
        <f t="shared" si="14"/>
        <v/>
      </c>
      <c r="N67" s="38"/>
      <c r="O67" s="39" t="s">
        <v>0</v>
      </c>
      <c r="P67" s="38"/>
      <c r="Q67" s="38"/>
      <c r="R67" s="39" t="s">
        <v>0</v>
      </c>
      <c r="S67" s="38"/>
      <c r="T67" s="38"/>
      <c r="U67" s="39" t="s">
        <v>0</v>
      </c>
      <c r="V67" s="38"/>
      <c r="W67" s="37"/>
      <c r="X67" s="37" t="str">
        <f t="shared" si="15"/>
        <v/>
      </c>
      <c r="Y67" s="39" t="s">
        <v>0</v>
      </c>
      <c r="Z67" s="37" t="str">
        <f t="shared" si="16"/>
        <v/>
      </c>
      <c r="AA67" s="37"/>
      <c r="AB67" s="37" t="str">
        <f t="shared" si="17"/>
        <v/>
      </c>
      <c r="AC67" s="39" t="s">
        <v>0</v>
      </c>
      <c r="AD67" s="37" t="str">
        <f t="shared" si="18"/>
        <v/>
      </c>
      <c r="AE67" s="56"/>
      <c r="AF67" s="37" t="str">
        <f t="shared" si="19"/>
        <v/>
      </c>
      <c r="AG67" s="39" t="s">
        <v>0</v>
      </c>
      <c r="AH67" s="37" t="str">
        <f t="shared" si="20"/>
        <v/>
      </c>
      <c r="AJ67" s="4" t="str">
        <f t="shared" si="23"/>
        <v>Ort</v>
      </c>
    </row>
    <row r="68" spans="1:73" ht="15.75" hidden="1">
      <c r="A68" s="3" t="str">
        <f t="shared" si="21"/>
        <v/>
      </c>
      <c r="B68" s="349" t="str">
        <f t="shared" si="22"/>
        <v>00.00.2018</v>
      </c>
      <c r="C68" s="40" t="s">
        <v>75</v>
      </c>
      <c r="D68" s="41"/>
      <c r="E68" s="3">
        <v>1</v>
      </c>
      <c r="F68" s="3" t="str">
        <f>IF(H68&lt;21,COUNTIF(H$6:H68,"&lt;21"),"")</f>
        <v/>
      </c>
      <c r="G68" s="7" t="str">
        <f t="shared" si="24"/>
        <v/>
      </c>
      <c r="H68" s="348">
        <v>21</v>
      </c>
      <c r="I68" s="29" t="s">
        <v>16</v>
      </c>
      <c r="J68" s="348">
        <v>21</v>
      </c>
      <c r="K68" s="7" t="str">
        <f t="shared" si="13"/>
        <v/>
      </c>
      <c r="L68" s="348">
        <v>21</v>
      </c>
      <c r="M68" s="7" t="str">
        <f t="shared" si="14"/>
        <v/>
      </c>
      <c r="N68" s="38"/>
      <c r="O68" s="39" t="s">
        <v>0</v>
      </c>
      <c r="P68" s="38"/>
      <c r="Q68" s="38"/>
      <c r="R68" s="39" t="s">
        <v>0</v>
      </c>
      <c r="S68" s="38"/>
      <c r="T68" s="38"/>
      <c r="U68" s="39" t="s">
        <v>0</v>
      </c>
      <c r="V68" s="38"/>
      <c r="W68" s="37"/>
      <c r="X68" s="37" t="str">
        <f t="shared" si="15"/>
        <v/>
      </c>
      <c r="Y68" s="39" t="s">
        <v>0</v>
      </c>
      <c r="Z68" s="37" t="str">
        <f t="shared" si="16"/>
        <v/>
      </c>
      <c r="AA68" s="37"/>
      <c r="AB68" s="37" t="str">
        <f t="shared" si="17"/>
        <v/>
      </c>
      <c r="AC68" s="39" t="s">
        <v>0</v>
      </c>
      <c r="AD68" s="37" t="str">
        <f t="shared" si="18"/>
        <v/>
      </c>
      <c r="AE68" s="56"/>
      <c r="AF68" s="37" t="str">
        <f t="shared" si="19"/>
        <v/>
      </c>
      <c r="AG68" s="39" t="s">
        <v>0</v>
      </c>
      <c r="AH68" s="37" t="str">
        <f t="shared" si="20"/>
        <v/>
      </c>
      <c r="AJ68" s="4" t="str">
        <f t="shared" si="23"/>
        <v>Ort</v>
      </c>
    </row>
    <row r="69" spans="1:73" ht="15.75" hidden="1">
      <c r="A69" s="350" t="str">
        <f t="shared" si="21"/>
        <v/>
      </c>
      <c r="B69" s="349" t="str">
        <f t="shared" si="22"/>
        <v>00.00.2018</v>
      </c>
      <c r="C69" s="40" t="s">
        <v>75</v>
      </c>
      <c r="D69" s="41"/>
      <c r="E69" s="3">
        <v>1</v>
      </c>
      <c r="F69" s="3" t="str">
        <f>IF(H69&lt;21,COUNTIF(H$6:H69,"&lt;21"),"")</f>
        <v/>
      </c>
      <c r="G69" s="7" t="str">
        <f t="shared" si="24"/>
        <v/>
      </c>
      <c r="H69" s="348">
        <v>21</v>
      </c>
      <c r="I69" s="29" t="s">
        <v>16</v>
      </c>
      <c r="J69" s="348">
        <v>21</v>
      </c>
      <c r="K69" s="7" t="str">
        <f t="shared" si="13"/>
        <v/>
      </c>
      <c r="L69" s="348">
        <v>21</v>
      </c>
      <c r="M69" s="7" t="str">
        <f t="shared" si="14"/>
        <v/>
      </c>
      <c r="N69" s="38"/>
      <c r="O69" s="39" t="s">
        <v>0</v>
      </c>
      <c r="P69" s="38"/>
      <c r="Q69" s="38"/>
      <c r="R69" s="39" t="s">
        <v>0</v>
      </c>
      <c r="S69" s="38"/>
      <c r="T69" s="38"/>
      <c r="U69" s="39" t="s">
        <v>0</v>
      </c>
      <c r="V69" s="38"/>
      <c r="W69" s="37"/>
      <c r="X69" s="37" t="str">
        <f t="shared" si="15"/>
        <v/>
      </c>
      <c r="Y69" s="39" t="s">
        <v>0</v>
      </c>
      <c r="Z69" s="37" t="str">
        <f t="shared" si="16"/>
        <v/>
      </c>
      <c r="AA69" s="37"/>
      <c r="AB69" s="37" t="str">
        <f t="shared" si="17"/>
        <v/>
      </c>
      <c r="AC69" s="39" t="s">
        <v>0</v>
      </c>
      <c r="AD69" s="37" t="str">
        <f t="shared" si="18"/>
        <v/>
      </c>
      <c r="AE69" s="56"/>
      <c r="AF69" s="37" t="str">
        <f t="shared" si="19"/>
        <v/>
      </c>
      <c r="AG69" s="39" t="s">
        <v>0</v>
      </c>
      <c r="AH69" s="37" t="str">
        <f t="shared" si="20"/>
        <v/>
      </c>
      <c r="AJ69" s="4" t="str">
        <f t="shared" si="23"/>
        <v>Ort</v>
      </c>
    </row>
    <row r="70" spans="1:73">
      <c r="A70" s="351"/>
      <c r="W70" s="34"/>
      <c r="X70" s="34"/>
      <c r="Y70" s="34"/>
      <c r="Z70" s="34"/>
      <c r="AE70" s="57"/>
    </row>
    <row r="71" spans="1:73">
      <c r="A71" s="351"/>
      <c r="B71" s="149"/>
      <c r="W71" s="34"/>
      <c r="X71" s="34"/>
      <c r="Y71" s="34"/>
      <c r="Z71" s="34"/>
      <c r="AE71" s="57"/>
    </row>
    <row r="72" spans="1:73" s="17" customFormat="1" ht="20.25">
      <c r="C72" s="14"/>
      <c r="D72" s="15"/>
      <c r="E72" s="15"/>
      <c r="F72" s="16" t="s">
        <v>80</v>
      </c>
      <c r="I72" s="16"/>
      <c r="J72" s="16"/>
      <c r="K72" s="362" t="s">
        <v>145</v>
      </c>
      <c r="L72" s="362"/>
      <c r="M72" s="363" t="s">
        <v>146</v>
      </c>
      <c r="N72" s="14"/>
      <c r="O72" s="14"/>
      <c r="P72" s="364" t="s">
        <v>147</v>
      </c>
      <c r="Q72" s="14"/>
      <c r="R72" s="14"/>
      <c r="S72" s="14"/>
      <c r="T72" s="14"/>
      <c r="U72" s="14"/>
      <c r="V72" s="14"/>
      <c r="W72" s="35"/>
      <c r="X72" s="378" t="s">
        <v>153</v>
      </c>
      <c r="Y72" s="35"/>
      <c r="Z72" s="35"/>
      <c r="AA72" s="35"/>
      <c r="AB72" s="35"/>
      <c r="AC72" s="35"/>
      <c r="AD72" s="35"/>
      <c r="AE72" s="54"/>
      <c r="AF72" s="35"/>
      <c r="AG72" s="35"/>
      <c r="AH72" s="35"/>
      <c r="AM72" s="4"/>
      <c r="AN72" s="4"/>
    </row>
    <row r="73" spans="1:73" s="30" customFormat="1" ht="20.25">
      <c r="A73" s="147" t="s">
        <v>13</v>
      </c>
      <c r="B73" s="20" t="s">
        <v>83</v>
      </c>
      <c r="C73" s="25" t="s">
        <v>8</v>
      </c>
      <c r="D73" s="26" t="s">
        <v>4</v>
      </c>
      <c r="E73" s="26" t="s">
        <v>3</v>
      </c>
      <c r="F73" s="26" t="s">
        <v>13</v>
      </c>
      <c r="G73" s="347" t="s">
        <v>7</v>
      </c>
      <c r="H73" s="348" t="s">
        <v>24</v>
      </c>
      <c r="I73" s="29"/>
      <c r="J73" s="7" t="s">
        <v>25</v>
      </c>
      <c r="K73" s="347" t="s">
        <v>6</v>
      </c>
      <c r="L73" s="348" t="s">
        <v>76</v>
      </c>
      <c r="M73" s="29" t="s">
        <v>5</v>
      </c>
      <c r="N73" s="394" t="s">
        <v>29</v>
      </c>
      <c r="O73" s="394"/>
      <c r="P73" s="394"/>
      <c r="Q73" s="394" t="s">
        <v>30</v>
      </c>
      <c r="R73" s="394"/>
      <c r="S73" s="394"/>
      <c r="T73" s="394" t="s">
        <v>31</v>
      </c>
      <c r="U73" s="394"/>
      <c r="V73" s="394"/>
      <c r="W73" s="39"/>
      <c r="X73" s="395" t="s">
        <v>2</v>
      </c>
      <c r="Y73" s="395"/>
      <c r="Z73" s="395"/>
      <c r="AA73" s="39"/>
      <c r="AB73" s="395" t="s">
        <v>32</v>
      </c>
      <c r="AC73" s="395"/>
      <c r="AD73" s="395"/>
      <c r="AE73" s="55"/>
      <c r="AF73" s="395" t="s">
        <v>28</v>
      </c>
      <c r="AG73" s="395"/>
      <c r="AH73" s="395"/>
      <c r="AM73" s="17"/>
      <c r="AN73" s="17"/>
      <c r="BU73" s="365" t="s">
        <v>135</v>
      </c>
    </row>
    <row r="74" spans="1:73" ht="15.75">
      <c r="A74" s="3">
        <f>F74</f>
        <v>21</v>
      </c>
      <c r="B74" s="349" t="str">
        <f t="shared" ref="B74:B103" si="25">K$72</f>
        <v>00.00.2018</v>
      </c>
      <c r="C74" s="366">
        <v>0.39583333333333331</v>
      </c>
      <c r="D74" s="353">
        <v>1</v>
      </c>
      <c r="E74" s="354">
        <v>1</v>
      </c>
      <c r="F74" s="354">
        <f>IF(H74&lt;21,COUNTIF(H$6:H74,"&lt;21"),"")</f>
        <v>21</v>
      </c>
      <c r="G74" s="355" t="str">
        <f>IF(H74=21,"",INDEX($AM$7:$AN$27,H74,2))</f>
        <v>Team 5</v>
      </c>
      <c r="H74" s="343">
        <v>5</v>
      </c>
      <c r="I74" s="29" t="s">
        <v>16</v>
      </c>
      <c r="J74" s="343">
        <v>4</v>
      </c>
      <c r="K74" s="355" t="str">
        <f t="shared" ref="K74:K103" si="26">IF(J74=21,"",INDEX($AM$7:$AN$27,J74,2))</f>
        <v>Team 4</v>
      </c>
      <c r="L74" s="343">
        <v>6</v>
      </c>
      <c r="M74" s="355" t="str">
        <f t="shared" ref="M74:M103" si="27">IF(L74=21,"",INDEX($AM$7:$AN$27,L74,2))</f>
        <v>Team 6</v>
      </c>
      <c r="N74" s="357"/>
      <c r="O74" s="358" t="s">
        <v>0</v>
      </c>
      <c r="P74" s="357"/>
      <c r="Q74" s="357"/>
      <c r="R74" s="358" t="s">
        <v>0</v>
      </c>
      <c r="S74" s="357"/>
      <c r="T74" s="357"/>
      <c r="U74" s="358" t="s">
        <v>0</v>
      </c>
      <c r="V74" s="357"/>
      <c r="W74" s="359"/>
      <c r="X74" s="359" t="str">
        <f t="shared" ref="X74:X103" si="28">IF(N74+P74&gt;0,IF(AB74&gt;0,IF(AB74&gt;AD74,2,IF(AB74&lt;AD74,0,1)),0),"")</f>
        <v/>
      </c>
      <c r="Y74" s="358" t="s">
        <v>0</v>
      </c>
      <c r="Z74" s="359" t="str">
        <f t="shared" ref="Z74:Z103" si="29">IF(N74+P74&gt;0,IF(AD74&gt;0,IF(AD74&gt;AB74,2,IF(AD74&lt;AB74,0,1)),0),"")</f>
        <v/>
      </c>
      <c r="AA74" s="359"/>
      <c r="AB74" s="359" t="str">
        <f t="shared" ref="AB74:AB103" si="30">IF(N74+P74&gt;0,IF(N74&gt;P74,1,0)+IF(Q74&gt;S74,1,0)+IF(T74&gt;V74,1,0),"")</f>
        <v/>
      </c>
      <c r="AC74" s="358" t="s">
        <v>0</v>
      </c>
      <c r="AD74" s="359" t="str">
        <f t="shared" ref="AD74:AD103" si="31">IF(N74+P74&gt;0,IF(N74&lt;P74,1,0)+IF(Q74&lt;S74,1,0)+IF(T74&lt;V74,1,0),"")</f>
        <v/>
      </c>
      <c r="AE74" s="360"/>
      <c r="AF74" s="359" t="str">
        <f t="shared" ref="AF74:AF103" si="32">IF(N74+P74&gt;0,N74+Q74+T74,"")</f>
        <v/>
      </c>
      <c r="AG74" s="358" t="s">
        <v>0</v>
      </c>
      <c r="AH74" s="359" t="str">
        <f t="shared" ref="AH74:AH103" si="33">IF(N74+P74&gt;0,P74+S74+V74,"")</f>
        <v/>
      </c>
      <c r="AJ74" s="4" t="str">
        <f t="shared" ref="AJ74:AJ103" si="34">M$72</f>
        <v>Ort</v>
      </c>
      <c r="AM74" s="30"/>
      <c r="AN74" s="30"/>
      <c r="AQ74" s="4" t="s">
        <v>134</v>
      </c>
      <c r="AR74" s="4" t="str">
        <f>Platzierung!T21</f>
        <v>Team 1</v>
      </c>
      <c r="BU74" s="4" t="str">
        <f>Platzierung!T25</f>
        <v>Team 5</v>
      </c>
    </row>
    <row r="75" spans="1:73" ht="15.75">
      <c r="A75" s="3">
        <f t="shared" ref="A75:A103" si="35">F75</f>
        <v>22</v>
      </c>
      <c r="B75" s="349" t="str">
        <f t="shared" si="25"/>
        <v>00.00.2018</v>
      </c>
      <c r="C75" s="40" t="s">
        <v>75</v>
      </c>
      <c r="D75" s="41">
        <v>2</v>
      </c>
      <c r="E75" s="3">
        <v>1</v>
      </c>
      <c r="F75" s="3">
        <f>IF(H75&lt;21,COUNTIF(H$6:H75,"&lt;21"),"")</f>
        <v>22</v>
      </c>
      <c r="G75" s="7" t="str">
        <f>IF(H75=21,"",INDEX($AM$7:$AN$27,H75,2))</f>
        <v>Team 6</v>
      </c>
      <c r="H75" s="343">
        <v>6</v>
      </c>
      <c r="I75" s="29" t="s">
        <v>16</v>
      </c>
      <c r="J75" s="343">
        <v>4</v>
      </c>
      <c r="K75" s="7" t="str">
        <f t="shared" si="26"/>
        <v>Team 4</v>
      </c>
      <c r="L75" s="343">
        <v>5</v>
      </c>
      <c r="M75" s="7" t="str">
        <f t="shared" si="27"/>
        <v>Team 5</v>
      </c>
      <c r="N75" s="38"/>
      <c r="O75" s="39" t="s">
        <v>0</v>
      </c>
      <c r="P75" s="38"/>
      <c r="Q75" s="38"/>
      <c r="R75" s="39" t="s">
        <v>0</v>
      </c>
      <c r="S75" s="38"/>
      <c r="T75" s="38"/>
      <c r="U75" s="39" t="s">
        <v>0</v>
      </c>
      <c r="V75" s="38"/>
      <c r="W75" s="37"/>
      <c r="X75" s="37" t="str">
        <f t="shared" si="28"/>
        <v/>
      </c>
      <c r="Y75" s="39" t="s">
        <v>0</v>
      </c>
      <c r="Z75" s="37" t="str">
        <f t="shared" si="29"/>
        <v/>
      </c>
      <c r="AA75" s="37"/>
      <c r="AB75" s="37" t="str">
        <f t="shared" si="30"/>
        <v/>
      </c>
      <c r="AC75" s="39" t="s">
        <v>0</v>
      </c>
      <c r="AD75" s="37" t="str">
        <f t="shared" si="31"/>
        <v/>
      </c>
      <c r="AE75" s="56"/>
      <c r="AF75" s="37" t="str">
        <f t="shared" si="32"/>
        <v/>
      </c>
      <c r="AG75" s="39" t="s">
        <v>0</v>
      </c>
      <c r="AH75" s="37" t="str">
        <f t="shared" si="33"/>
        <v/>
      </c>
      <c r="AJ75" s="4" t="str">
        <f t="shared" si="34"/>
        <v>Ort</v>
      </c>
      <c r="AQ75" s="4" t="s">
        <v>134</v>
      </c>
      <c r="AR75" s="4" t="str">
        <f>Platzierung!T22</f>
        <v>Team 2</v>
      </c>
      <c r="BU75" s="4" t="str">
        <f>Platzierung!T26</f>
        <v>Team 6</v>
      </c>
    </row>
    <row r="76" spans="1:73" ht="15.75">
      <c r="A76" s="3">
        <f t="shared" si="35"/>
        <v>23</v>
      </c>
      <c r="B76" s="349" t="str">
        <f t="shared" si="25"/>
        <v>00.00.2018</v>
      </c>
      <c r="C76" s="352" t="s">
        <v>75</v>
      </c>
      <c r="D76" s="353">
        <v>3</v>
      </c>
      <c r="E76" s="354">
        <v>1</v>
      </c>
      <c r="F76" s="354">
        <f>IF(H76&lt;21,COUNTIF(H$6:H76,"&lt;21"),"")</f>
        <v>23</v>
      </c>
      <c r="G76" s="355" t="str">
        <f t="shared" ref="G76:G103" si="36">IF(H76=21,"",INDEX($AM$7:$AN$27,H76,2))</f>
        <v>Team 6</v>
      </c>
      <c r="H76" s="343">
        <v>6</v>
      </c>
      <c r="I76" s="29" t="s">
        <v>16</v>
      </c>
      <c r="J76" s="343">
        <v>5</v>
      </c>
      <c r="K76" s="355" t="str">
        <f t="shared" si="26"/>
        <v>Team 5</v>
      </c>
      <c r="L76" s="343">
        <v>4</v>
      </c>
      <c r="M76" s="355" t="str">
        <f t="shared" si="27"/>
        <v>Team 4</v>
      </c>
      <c r="N76" s="357"/>
      <c r="O76" s="358" t="s">
        <v>0</v>
      </c>
      <c r="P76" s="357"/>
      <c r="Q76" s="357"/>
      <c r="R76" s="358" t="s">
        <v>0</v>
      </c>
      <c r="S76" s="357"/>
      <c r="T76" s="357"/>
      <c r="U76" s="358" t="s">
        <v>0</v>
      </c>
      <c r="V76" s="357"/>
      <c r="W76" s="359"/>
      <c r="X76" s="359" t="str">
        <f t="shared" si="28"/>
        <v/>
      </c>
      <c r="Y76" s="358" t="s">
        <v>0</v>
      </c>
      <c r="Z76" s="359" t="str">
        <f t="shared" si="29"/>
        <v/>
      </c>
      <c r="AA76" s="359"/>
      <c r="AB76" s="359" t="str">
        <f t="shared" si="30"/>
        <v/>
      </c>
      <c r="AC76" s="358" t="s">
        <v>0</v>
      </c>
      <c r="AD76" s="359" t="str">
        <f t="shared" si="31"/>
        <v/>
      </c>
      <c r="AE76" s="360"/>
      <c r="AF76" s="359" t="str">
        <f t="shared" si="32"/>
        <v/>
      </c>
      <c r="AG76" s="358" t="s">
        <v>0</v>
      </c>
      <c r="AH76" s="359" t="str">
        <f t="shared" si="33"/>
        <v/>
      </c>
      <c r="AJ76" s="4" t="str">
        <f t="shared" si="34"/>
        <v>Ort</v>
      </c>
      <c r="AQ76" s="4" t="s">
        <v>134</v>
      </c>
      <c r="AR76" s="4" t="str">
        <f>Platzierung!T23</f>
        <v>Team 3</v>
      </c>
    </row>
    <row r="77" spans="1:73" ht="15.75">
      <c r="A77" s="3">
        <f t="shared" si="35"/>
        <v>24</v>
      </c>
      <c r="B77" s="349" t="str">
        <f t="shared" si="25"/>
        <v>00.00.2018</v>
      </c>
      <c r="C77" s="40" t="s">
        <v>75</v>
      </c>
      <c r="D77" s="41">
        <v>4</v>
      </c>
      <c r="E77" s="3">
        <v>1</v>
      </c>
      <c r="F77" s="3">
        <f>IF(H77&lt;21,COUNTIF(H$6:H77,"&lt;21"),"")</f>
        <v>24</v>
      </c>
      <c r="G77" s="7" t="str">
        <f t="shared" si="36"/>
        <v>Team 4</v>
      </c>
      <c r="H77" s="343">
        <v>4</v>
      </c>
      <c r="I77" s="29" t="s">
        <v>16</v>
      </c>
      <c r="J77" s="343">
        <v>7</v>
      </c>
      <c r="K77" s="7" t="str">
        <f t="shared" si="26"/>
        <v>Team 7</v>
      </c>
      <c r="L77" s="343">
        <v>5</v>
      </c>
      <c r="M77" s="7" t="str">
        <f t="shared" si="27"/>
        <v>Team 5</v>
      </c>
      <c r="N77" s="38"/>
      <c r="O77" s="39" t="s">
        <v>0</v>
      </c>
      <c r="P77" s="38"/>
      <c r="Q77" s="38"/>
      <c r="R77" s="39" t="s">
        <v>0</v>
      </c>
      <c r="S77" s="38"/>
      <c r="T77" s="38"/>
      <c r="U77" s="39" t="s">
        <v>0</v>
      </c>
      <c r="V77" s="38"/>
      <c r="W77" s="37"/>
      <c r="X77" s="37" t="str">
        <f t="shared" si="28"/>
        <v/>
      </c>
      <c r="Y77" s="39" t="s">
        <v>0</v>
      </c>
      <c r="Z77" s="37" t="str">
        <f t="shared" si="29"/>
        <v/>
      </c>
      <c r="AA77" s="37"/>
      <c r="AB77" s="37" t="str">
        <f t="shared" si="30"/>
        <v/>
      </c>
      <c r="AC77" s="39" t="s">
        <v>0</v>
      </c>
      <c r="AD77" s="37" t="str">
        <f t="shared" si="31"/>
        <v/>
      </c>
      <c r="AE77" s="56"/>
      <c r="AF77" s="37" t="str">
        <f t="shared" si="32"/>
        <v/>
      </c>
      <c r="AG77" s="39" t="s">
        <v>0</v>
      </c>
      <c r="AH77" s="37" t="str">
        <f t="shared" si="33"/>
        <v/>
      </c>
      <c r="AJ77" s="4" t="str">
        <f t="shared" si="34"/>
        <v>Ort</v>
      </c>
    </row>
    <row r="78" spans="1:73" ht="15.75">
      <c r="A78" s="3">
        <f t="shared" si="35"/>
        <v>25</v>
      </c>
      <c r="B78" s="349" t="str">
        <f t="shared" si="25"/>
        <v>00.00.2018</v>
      </c>
      <c r="C78" s="352" t="s">
        <v>75</v>
      </c>
      <c r="D78" s="353">
        <v>5</v>
      </c>
      <c r="E78" s="354">
        <v>1</v>
      </c>
      <c r="F78" s="354">
        <f>IF(H78&lt;21,COUNTIF(H$6:H78,"&lt;21"),"")</f>
        <v>25</v>
      </c>
      <c r="G78" s="355" t="str">
        <f t="shared" si="36"/>
        <v>Team 5</v>
      </c>
      <c r="H78" s="343">
        <v>5</v>
      </c>
      <c r="I78" s="29" t="s">
        <v>16</v>
      </c>
      <c r="J78" s="343">
        <v>8</v>
      </c>
      <c r="K78" s="355" t="str">
        <f t="shared" si="26"/>
        <v>Team 8</v>
      </c>
      <c r="L78" s="343">
        <v>6</v>
      </c>
      <c r="M78" s="355" t="str">
        <f t="shared" si="27"/>
        <v>Team 6</v>
      </c>
      <c r="N78" s="357"/>
      <c r="O78" s="358" t="s">
        <v>0</v>
      </c>
      <c r="P78" s="357"/>
      <c r="Q78" s="357"/>
      <c r="R78" s="358" t="s">
        <v>0</v>
      </c>
      <c r="S78" s="357"/>
      <c r="T78" s="357"/>
      <c r="U78" s="358" t="s">
        <v>0</v>
      </c>
      <c r="V78" s="357"/>
      <c r="W78" s="359"/>
      <c r="X78" s="359" t="str">
        <f t="shared" si="28"/>
        <v/>
      </c>
      <c r="Y78" s="358" t="s">
        <v>0</v>
      </c>
      <c r="Z78" s="359" t="str">
        <f t="shared" si="29"/>
        <v/>
      </c>
      <c r="AA78" s="359"/>
      <c r="AB78" s="359" t="str">
        <f t="shared" si="30"/>
        <v/>
      </c>
      <c r="AC78" s="358" t="s">
        <v>0</v>
      </c>
      <c r="AD78" s="359" t="str">
        <f t="shared" si="31"/>
        <v/>
      </c>
      <c r="AE78" s="360"/>
      <c r="AF78" s="359" t="str">
        <f t="shared" si="32"/>
        <v/>
      </c>
      <c r="AG78" s="358" t="s">
        <v>0</v>
      </c>
      <c r="AH78" s="359" t="str">
        <f t="shared" si="33"/>
        <v/>
      </c>
      <c r="AJ78" s="4" t="str">
        <f t="shared" si="34"/>
        <v>Ort</v>
      </c>
    </row>
    <row r="79" spans="1:73" ht="15.75">
      <c r="A79" s="3">
        <f t="shared" si="35"/>
        <v>26</v>
      </c>
      <c r="B79" s="349" t="str">
        <f t="shared" si="25"/>
        <v>00.00.2018</v>
      </c>
      <c r="C79" s="40" t="s">
        <v>75</v>
      </c>
      <c r="D79" s="41">
        <v>6</v>
      </c>
      <c r="E79" s="3">
        <v>1</v>
      </c>
      <c r="F79" s="3">
        <f>IF(H79&lt;21,COUNTIF(H$6:H79,"&lt;21"),"")</f>
        <v>26</v>
      </c>
      <c r="G79" s="7" t="str">
        <f t="shared" si="36"/>
        <v>Team 6</v>
      </c>
      <c r="H79" s="343">
        <v>6</v>
      </c>
      <c r="I79" s="29" t="s">
        <v>16</v>
      </c>
      <c r="J79" s="343">
        <v>8</v>
      </c>
      <c r="K79" s="7" t="str">
        <f t="shared" si="26"/>
        <v>Team 8</v>
      </c>
      <c r="L79" s="343">
        <v>9</v>
      </c>
      <c r="M79" s="7" t="str">
        <f t="shared" si="27"/>
        <v>Team 9</v>
      </c>
      <c r="N79" s="38"/>
      <c r="O79" s="39" t="s">
        <v>0</v>
      </c>
      <c r="P79" s="38"/>
      <c r="Q79" s="38"/>
      <c r="R79" s="39" t="s">
        <v>0</v>
      </c>
      <c r="S79" s="38"/>
      <c r="T79" s="38"/>
      <c r="U79" s="39" t="s">
        <v>0</v>
      </c>
      <c r="V79" s="38"/>
      <c r="W79" s="37"/>
      <c r="X79" s="37" t="str">
        <f t="shared" si="28"/>
        <v/>
      </c>
      <c r="Y79" s="39" t="s">
        <v>0</v>
      </c>
      <c r="Z79" s="37" t="str">
        <f t="shared" si="29"/>
        <v/>
      </c>
      <c r="AA79" s="37"/>
      <c r="AB79" s="37" t="str">
        <f t="shared" si="30"/>
        <v/>
      </c>
      <c r="AC79" s="39" t="s">
        <v>0</v>
      </c>
      <c r="AD79" s="37" t="str">
        <f t="shared" si="31"/>
        <v/>
      </c>
      <c r="AE79" s="56"/>
      <c r="AF79" s="37" t="str">
        <f t="shared" si="32"/>
        <v/>
      </c>
      <c r="AG79" s="39" t="s">
        <v>0</v>
      </c>
      <c r="AH79" s="37" t="str">
        <f t="shared" si="33"/>
        <v/>
      </c>
      <c r="AJ79" s="4" t="str">
        <f t="shared" si="34"/>
        <v>Ort</v>
      </c>
    </row>
    <row r="80" spans="1:73" ht="15.75">
      <c r="A80" s="3">
        <f t="shared" si="35"/>
        <v>27</v>
      </c>
      <c r="B80" s="349" t="str">
        <f t="shared" si="25"/>
        <v>00.00.2018</v>
      </c>
      <c r="C80" s="352" t="s">
        <v>75</v>
      </c>
      <c r="D80" s="353">
        <v>7</v>
      </c>
      <c r="E80" s="354">
        <v>1</v>
      </c>
      <c r="F80" s="354">
        <f>IF(H80&lt;21,COUNTIF(H$6:H80,"&lt;21"),"")</f>
        <v>27</v>
      </c>
      <c r="G80" s="355" t="str">
        <f t="shared" si="36"/>
        <v>Team 6</v>
      </c>
      <c r="H80" s="343">
        <v>6</v>
      </c>
      <c r="I80" s="29" t="s">
        <v>16</v>
      </c>
      <c r="J80" s="343">
        <v>9</v>
      </c>
      <c r="K80" s="355" t="str">
        <f t="shared" si="26"/>
        <v>Team 9</v>
      </c>
      <c r="L80" s="343">
        <v>7</v>
      </c>
      <c r="M80" s="355" t="str">
        <f t="shared" si="27"/>
        <v>Team 7</v>
      </c>
      <c r="N80" s="357"/>
      <c r="O80" s="358" t="s">
        <v>0</v>
      </c>
      <c r="P80" s="357"/>
      <c r="Q80" s="357"/>
      <c r="R80" s="358" t="s">
        <v>0</v>
      </c>
      <c r="S80" s="357"/>
      <c r="T80" s="357"/>
      <c r="U80" s="358" t="s">
        <v>0</v>
      </c>
      <c r="V80" s="357"/>
      <c r="W80" s="359"/>
      <c r="X80" s="359" t="str">
        <f t="shared" si="28"/>
        <v/>
      </c>
      <c r="Y80" s="358" t="s">
        <v>0</v>
      </c>
      <c r="Z80" s="359" t="str">
        <f t="shared" si="29"/>
        <v/>
      </c>
      <c r="AA80" s="359"/>
      <c r="AB80" s="359" t="str">
        <f t="shared" si="30"/>
        <v/>
      </c>
      <c r="AC80" s="358" t="s">
        <v>0</v>
      </c>
      <c r="AD80" s="359" t="str">
        <f t="shared" si="31"/>
        <v/>
      </c>
      <c r="AE80" s="360"/>
      <c r="AF80" s="359" t="str">
        <f t="shared" si="32"/>
        <v/>
      </c>
      <c r="AG80" s="358" t="s">
        <v>0</v>
      </c>
      <c r="AH80" s="359" t="str">
        <f t="shared" si="33"/>
        <v/>
      </c>
      <c r="AJ80" s="4" t="str">
        <f t="shared" si="34"/>
        <v>Ort</v>
      </c>
    </row>
    <row r="81" spans="1:40" ht="15.75">
      <c r="A81" s="3">
        <f t="shared" si="35"/>
        <v>28</v>
      </c>
      <c r="B81" s="349" t="str">
        <f t="shared" si="25"/>
        <v>00.00.2018</v>
      </c>
      <c r="C81" s="40" t="s">
        <v>75</v>
      </c>
      <c r="D81" s="41">
        <v>8</v>
      </c>
      <c r="E81" s="3">
        <v>1</v>
      </c>
      <c r="F81" s="3">
        <f>IF(H81&lt;21,COUNTIF(H$6:H81,"&lt;21"),"")</f>
        <v>28</v>
      </c>
      <c r="G81" s="7" t="str">
        <f t="shared" si="36"/>
        <v>Team 8</v>
      </c>
      <c r="H81" s="343">
        <v>8</v>
      </c>
      <c r="I81" s="29" t="s">
        <v>16</v>
      </c>
      <c r="J81" s="343">
        <v>7</v>
      </c>
      <c r="K81" s="7" t="str">
        <f t="shared" si="26"/>
        <v>Team 7</v>
      </c>
      <c r="L81" s="343">
        <v>9</v>
      </c>
      <c r="M81" s="7" t="str">
        <f t="shared" si="27"/>
        <v>Team 9</v>
      </c>
      <c r="N81" s="38"/>
      <c r="O81" s="39" t="s">
        <v>0</v>
      </c>
      <c r="P81" s="38"/>
      <c r="Q81" s="38"/>
      <c r="R81" s="39" t="s">
        <v>0</v>
      </c>
      <c r="S81" s="38"/>
      <c r="T81" s="38"/>
      <c r="U81" s="39" t="s">
        <v>0</v>
      </c>
      <c r="V81" s="38"/>
      <c r="W81" s="37"/>
      <c r="X81" s="37" t="str">
        <f t="shared" si="28"/>
        <v/>
      </c>
      <c r="Y81" s="39" t="s">
        <v>0</v>
      </c>
      <c r="Z81" s="37" t="str">
        <f t="shared" si="29"/>
        <v/>
      </c>
      <c r="AA81" s="37"/>
      <c r="AB81" s="37" t="str">
        <f t="shared" si="30"/>
        <v/>
      </c>
      <c r="AC81" s="39" t="s">
        <v>0</v>
      </c>
      <c r="AD81" s="37" t="str">
        <f t="shared" si="31"/>
        <v/>
      </c>
      <c r="AE81" s="56"/>
      <c r="AF81" s="37" t="str">
        <f t="shared" si="32"/>
        <v/>
      </c>
      <c r="AG81" s="39" t="s">
        <v>0</v>
      </c>
      <c r="AH81" s="37" t="str">
        <f t="shared" si="33"/>
        <v/>
      </c>
      <c r="AJ81" s="4" t="str">
        <f t="shared" si="34"/>
        <v>Ort</v>
      </c>
    </row>
    <row r="82" spans="1:40" ht="15.75">
      <c r="A82" s="3">
        <f>F82</f>
        <v>29</v>
      </c>
      <c r="B82" s="349" t="str">
        <f t="shared" si="25"/>
        <v>00.00.2018</v>
      </c>
      <c r="C82" s="352" t="s">
        <v>75</v>
      </c>
      <c r="D82" s="353">
        <v>9</v>
      </c>
      <c r="E82" s="354">
        <v>1</v>
      </c>
      <c r="F82" s="354">
        <f>IF(H82&lt;21,COUNTIF(H$6:H82,"&lt;21"),"")</f>
        <v>29</v>
      </c>
      <c r="G82" s="355" t="str">
        <f>IF(H82=21,"",INDEX($AM$7:$AN$27,H82,2))</f>
        <v>Team 9</v>
      </c>
      <c r="H82" s="356">
        <v>9</v>
      </c>
      <c r="I82" s="379" t="s">
        <v>16</v>
      </c>
      <c r="J82" s="356">
        <v>7</v>
      </c>
      <c r="K82" s="355" t="str">
        <f>IF(J82=21,"",INDEX($AM$7:$AN$27,J82,2))</f>
        <v>Team 7</v>
      </c>
      <c r="L82" s="343">
        <v>8</v>
      </c>
      <c r="M82" s="355" t="str">
        <f>IF(L82=21,"",INDEX($AM$7:$AN$27,L82,2))</f>
        <v>Team 8</v>
      </c>
      <c r="N82" s="357"/>
      <c r="O82" s="358" t="s">
        <v>0</v>
      </c>
      <c r="P82" s="357"/>
      <c r="Q82" s="357"/>
      <c r="R82" s="358" t="s">
        <v>0</v>
      </c>
      <c r="S82" s="357"/>
      <c r="T82" s="357"/>
      <c r="U82" s="358" t="s">
        <v>0</v>
      </c>
      <c r="V82" s="357"/>
      <c r="W82" s="359"/>
      <c r="X82" s="359" t="str">
        <f>IF(N82+P82&gt;0,IF(AB82&gt;0,IF(AB82&gt;AD82,2,IF(AB82&lt;AD82,0,1)),0),"")</f>
        <v/>
      </c>
      <c r="Y82" s="358" t="s">
        <v>0</v>
      </c>
      <c r="Z82" s="359" t="str">
        <f>IF(N82+P82&gt;0,IF(AD82&gt;0,IF(AD82&gt;AB82,2,IF(AD82&lt;AB82,0,1)),0),"")</f>
        <v/>
      </c>
      <c r="AA82" s="359"/>
      <c r="AB82" s="359" t="str">
        <f>IF(N82+P82&gt;0,IF(N82&gt;P82,1,0)+IF(Q82&gt;S82,1,0)+IF(T82&gt;V82,1,0),"")</f>
        <v/>
      </c>
      <c r="AC82" s="358" t="s">
        <v>0</v>
      </c>
      <c r="AD82" s="359" t="str">
        <f>IF(N82+P82&gt;0,IF(N82&lt;P82,1,0)+IF(Q82&lt;S82,1,0)+IF(T82&lt;V82,1,0),"")</f>
        <v/>
      </c>
      <c r="AE82" s="360"/>
      <c r="AF82" s="359" t="str">
        <f>IF(N82+P82&gt;0,N82+Q82+T82,"")</f>
        <v/>
      </c>
      <c r="AG82" s="358" t="s">
        <v>0</v>
      </c>
      <c r="AH82" s="359" t="str">
        <f>IF(N82+P82&gt;0,P82+S82+V82,"")</f>
        <v/>
      </c>
      <c r="AJ82" s="4" t="str">
        <f t="shared" si="34"/>
        <v>Ort</v>
      </c>
    </row>
    <row r="83" spans="1:40" ht="15.75">
      <c r="A83" s="3">
        <f t="shared" si="35"/>
        <v>30</v>
      </c>
      <c r="B83" s="349" t="str">
        <f t="shared" si="25"/>
        <v>00.00.2018</v>
      </c>
      <c r="C83" s="40" t="s">
        <v>75</v>
      </c>
      <c r="D83" s="41">
        <v>10</v>
      </c>
      <c r="E83" s="3">
        <v>1</v>
      </c>
      <c r="F83" s="3">
        <f>IF(H83&lt;21,COUNTIF(H$6:H83,"&lt;21"),"")</f>
        <v>30</v>
      </c>
      <c r="G83" s="7" t="str">
        <f t="shared" si="36"/>
        <v>Team 9</v>
      </c>
      <c r="H83" s="343">
        <v>9</v>
      </c>
      <c r="I83" s="29" t="s">
        <v>16</v>
      </c>
      <c r="J83" s="343">
        <v>8</v>
      </c>
      <c r="K83" s="7" t="str">
        <f t="shared" si="26"/>
        <v>Team 8</v>
      </c>
      <c r="L83" s="343">
        <v>7</v>
      </c>
      <c r="M83" s="7" t="str">
        <f t="shared" si="27"/>
        <v>Team 7</v>
      </c>
      <c r="N83" s="38"/>
      <c r="O83" s="39" t="s">
        <v>0</v>
      </c>
      <c r="P83" s="38"/>
      <c r="Q83" s="38"/>
      <c r="R83" s="39" t="s">
        <v>0</v>
      </c>
      <c r="S83" s="38"/>
      <c r="T83" s="38"/>
      <c r="U83" s="39" t="s">
        <v>0</v>
      </c>
      <c r="V83" s="38"/>
      <c r="W83" s="37"/>
      <c r="X83" s="37" t="str">
        <f t="shared" si="28"/>
        <v/>
      </c>
      <c r="Y83" s="39" t="s">
        <v>0</v>
      </c>
      <c r="Z83" s="37" t="str">
        <f t="shared" si="29"/>
        <v/>
      </c>
      <c r="AA83" s="37"/>
      <c r="AB83" s="37" t="str">
        <f t="shared" si="30"/>
        <v/>
      </c>
      <c r="AC83" s="39" t="s">
        <v>0</v>
      </c>
      <c r="AD83" s="37" t="str">
        <f t="shared" si="31"/>
        <v/>
      </c>
      <c r="AE83" s="56"/>
      <c r="AF83" s="37" t="str">
        <f t="shared" si="32"/>
        <v/>
      </c>
      <c r="AG83" s="39" t="s">
        <v>0</v>
      </c>
      <c r="AH83" s="37" t="str">
        <f t="shared" si="33"/>
        <v/>
      </c>
      <c r="AJ83" s="4" t="str">
        <f t="shared" si="34"/>
        <v>Ort</v>
      </c>
    </row>
    <row r="84" spans="1:40" ht="15.75" hidden="1">
      <c r="A84" s="3" t="str">
        <f t="shared" si="35"/>
        <v/>
      </c>
      <c r="B84" s="349" t="str">
        <f t="shared" si="25"/>
        <v>00.00.2018</v>
      </c>
      <c r="C84" s="40" t="s">
        <v>75</v>
      </c>
      <c r="D84" s="41">
        <v>11</v>
      </c>
      <c r="E84" s="3">
        <v>1</v>
      </c>
      <c r="F84" s="3" t="str">
        <f>IF(H84&lt;21,COUNTIF(H$6:H84,"&lt;21"),"")</f>
        <v/>
      </c>
      <c r="G84" s="7" t="str">
        <f t="shared" si="36"/>
        <v/>
      </c>
      <c r="H84" s="343">
        <v>21</v>
      </c>
      <c r="I84" s="29" t="s">
        <v>16</v>
      </c>
      <c r="J84" s="343">
        <v>21</v>
      </c>
      <c r="K84" s="7" t="str">
        <f t="shared" si="26"/>
        <v/>
      </c>
      <c r="L84" s="343">
        <v>21</v>
      </c>
      <c r="M84" s="7" t="str">
        <f t="shared" si="27"/>
        <v/>
      </c>
      <c r="N84" s="38"/>
      <c r="O84" s="39" t="s">
        <v>0</v>
      </c>
      <c r="P84" s="38"/>
      <c r="Q84" s="38"/>
      <c r="R84" s="39" t="s">
        <v>0</v>
      </c>
      <c r="S84" s="38"/>
      <c r="T84" s="38"/>
      <c r="U84" s="39" t="s">
        <v>0</v>
      </c>
      <c r="V84" s="38"/>
      <c r="W84" s="37"/>
      <c r="X84" s="37" t="str">
        <f t="shared" si="28"/>
        <v/>
      </c>
      <c r="Y84" s="39" t="s">
        <v>0</v>
      </c>
      <c r="Z84" s="37" t="str">
        <f t="shared" si="29"/>
        <v/>
      </c>
      <c r="AA84" s="37"/>
      <c r="AB84" s="37" t="str">
        <f t="shared" si="30"/>
        <v/>
      </c>
      <c r="AC84" s="39" t="s">
        <v>0</v>
      </c>
      <c r="AD84" s="37" t="str">
        <f t="shared" si="31"/>
        <v/>
      </c>
      <c r="AE84" s="56"/>
      <c r="AF84" s="37" t="str">
        <f t="shared" si="32"/>
        <v/>
      </c>
      <c r="AG84" s="39" t="s">
        <v>0</v>
      </c>
      <c r="AH84" s="37" t="str">
        <f t="shared" si="33"/>
        <v/>
      </c>
      <c r="AJ84" s="4" t="str">
        <f t="shared" si="34"/>
        <v>Ort</v>
      </c>
    </row>
    <row r="85" spans="1:40" ht="15.75" hidden="1">
      <c r="A85" s="3" t="str">
        <f t="shared" si="35"/>
        <v/>
      </c>
      <c r="B85" s="349" t="str">
        <f t="shared" si="25"/>
        <v>00.00.2018</v>
      </c>
      <c r="C85" s="352" t="s">
        <v>75</v>
      </c>
      <c r="D85" s="353">
        <v>12</v>
      </c>
      <c r="E85" s="354">
        <v>1</v>
      </c>
      <c r="F85" s="3" t="str">
        <f>IF(H85&lt;21,COUNTIF(H$6:H85,"&lt;21"),"")</f>
        <v/>
      </c>
      <c r="G85" s="7" t="str">
        <f t="shared" si="36"/>
        <v/>
      </c>
      <c r="H85" s="348">
        <v>21</v>
      </c>
      <c r="I85" s="29" t="s">
        <v>16</v>
      </c>
      <c r="J85" s="348">
        <v>21</v>
      </c>
      <c r="K85" s="7" t="str">
        <f t="shared" si="26"/>
        <v/>
      </c>
      <c r="L85" s="348">
        <v>21</v>
      </c>
      <c r="M85" s="355" t="str">
        <f t="shared" si="27"/>
        <v/>
      </c>
      <c r="N85" s="357"/>
      <c r="O85" s="358" t="s">
        <v>0</v>
      </c>
      <c r="P85" s="357"/>
      <c r="Q85" s="357"/>
      <c r="R85" s="358" t="s">
        <v>0</v>
      </c>
      <c r="S85" s="357"/>
      <c r="T85" s="357"/>
      <c r="U85" s="358" t="s">
        <v>0</v>
      </c>
      <c r="V85" s="357"/>
      <c r="W85" s="359"/>
      <c r="X85" s="359" t="str">
        <f t="shared" si="28"/>
        <v/>
      </c>
      <c r="Y85" s="358" t="s">
        <v>0</v>
      </c>
      <c r="Z85" s="359" t="str">
        <f t="shared" si="29"/>
        <v/>
      </c>
      <c r="AA85" s="359"/>
      <c r="AB85" s="359" t="str">
        <f t="shared" si="30"/>
        <v/>
      </c>
      <c r="AC85" s="358" t="s">
        <v>0</v>
      </c>
      <c r="AD85" s="359" t="str">
        <f t="shared" si="31"/>
        <v/>
      </c>
      <c r="AE85" s="360"/>
      <c r="AF85" s="359" t="str">
        <f t="shared" si="32"/>
        <v/>
      </c>
      <c r="AG85" s="358" t="s">
        <v>0</v>
      </c>
      <c r="AH85" s="359" t="str">
        <f t="shared" si="33"/>
        <v/>
      </c>
      <c r="AJ85" s="4" t="str">
        <f t="shared" si="34"/>
        <v>Ort</v>
      </c>
    </row>
    <row r="86" spans="1:40" ht="15.75" hidden="1">
      <c r="A86" s="3" t="str">
        <f t="shared" si="35"/>
        <v/>
      </c>
      <c r="B86" s="349" t="str">
        <f t="shared" si="25"/>
        <v>00.00.2018</v>
      </c>
      <c r="C86" s="40" t="s">
        <v>75</v>
      </c>
      <c r="D86" s="41">
        <v>13</v>
      </c>
      <c r="E86" s="3">
        <v>1</v>
      </c>
      <c r="F86" s="3" t="str">
        <f>IF(H86&lt;21,COUNTIF(H$6:H86,"&lt;21"),"")</f>
        <v/>
      </c>
      <c r="G86" s="7" t="str">
        <f t="shared" si="36"/>
        <v/>
      </c>
      <c r="H86" s="361">
        <v>21</v>
      </c>
      <c r="I86" s="29" t="s">
        <v>16</v>
      </c>
      <c r="J86" s="361">
        <v>21</v>
      </c>
      <c r="K86" s="7" t="str">
        <f t="shared" si="26"/>
        <v/>
      </c>
      <c r="L86" s="361">
        <v>21</v>
      </c>
      <c r="M86" s="7" t="str">
        <f t="shared" si="27"/>
        <v/>
      </c>
      <c r="N86" s="38"/>
      <c r="O86" s="39" t="s">
        <v>0</v>
      </c>
      <c r="P86" s="38"/>
      <c r="Q86" s="38"/>
      <c r="R86" s="39" t="s">
        <v>0</v>
      </c>
      <c r="S86" s="38"/>
      <c r="T86" s="38"/>
      <c r="U86" s="39" t="s">
        <v>0</v>
      </c>
      <c r="V86" s="38"/>
      <c r="W86" s="37"/>
      <c r="X86" s="37" t="str">
        <f t="shared" si="28"/>
        <v/>
      </c>
      <c r="Y86" s="39" t="s">
        <v>0</v>
      </c>
      <c r="Z86" s="37" t="str">
        <f t="shared" si="29"/>
        <v/>
      </c>
      <c r="AA86" s="37"/>
      <c r="AB86" s="37" t="str">
        <f t="shared" si="30"/>
        <v/>
      </c>
      <c r="AC86" s="39" t="s">
        <v>0</v>
      </c>
      <c r="AD86" s="37" t="str">
        <f t="shared" si="31"/>
        <v/>
      </c>
      <c r="AE86" s="56"/>
      <c r="AF86" s="37" t="str">
        <f t="shared" si="32"/>
        <v/>
      </c>
      <c r="AG86" s="39" t="s">
        <v>0</v>
      </c>
      <c r="AH86" s="37" t="str">
        <f t="shared" si="33"/>
        <v/>
      </c>
      <c r="AJ86" s="4" t="str">
        <f t="shared" si="34"/>
        <v>Ort</v>
      </c>
    </row>
    <row r="87" spans="1:40" s="30" customFormat="1" ht="15.75" hidden="1">
      <c r="A87" s="3" t="str">
        <f t="shared" si="35"/>
        <v/>
      </c>
      <c r="B87" s="349" t="str">
        <f t="shared" si="25"/>
        <v>00.00.2018</v>
      </c>
      <c r="C87" s="40" t="s">
        <v>75</v>
      </c>
      <c r="D87" s="41">
        <v>14</v>
      </c>
      <c r="E87" s="3">
        <v>1</v>
      </c>
      <c r="F87" s="3" t="str">
        <f>IF(H87&lt;21,COUNTIF(H$6:H87,"&lt;21"),"")</f>
        <v/>
      </c>
      <c r="G87" s="7" t="str">
        <f t="shared" si="36"/>
        <v/>
      </c>
      <c r="H87" s="348">
        <v>21</v>
      </c>
      <c r="I87" s="29" t="s">
        <v>16</v>
      </c>
      <c r="J87" s="348">
        <v>21</v>
      </c>
      <c r="K87" s="7" t="str">
        <f t="shared" si="26"/>
        <v/>
      </c>
      <c r="L87" s="348">
        <v>21</v>
      </c>
      <c r="M87" s="7" t="str">
        <f t="shared" si="27"/>
        <v/>
      </c>
      <c r="N87" s="38"/>
      <c r="O87" s="39" t="s">
        <v>0</v>
      </c>
      <c r="P87" s="38"/>
      <c r="Q87" s="38"/>
      <c r="R87" s="39" t="s">
        <v>0</v>
      </c>
      <c r="S87" s="38"/>
      <c r="T87" s="38"/>
      <c r="U87" s="39" t="s">
        <v>0</v>
      </c>
      <c r="V87" s="38"/>
      <c r="W87" s="37"/>
      <c r="X87" s="37" t="str">
        <f t="shared" si="28"/>
        <v/>
      </c>
      <c r="Y87" s="39" t="s">
        <v>0</v>
      </c>
      <c r="Z87" s="37" t="str">
        <f t="shared" si="29"/>
        <v/>
      </c>
      <c r="AA87" s="37"/>
      <c r="AB87" s="37" t="str">
        <f t="shared" si="30"/>
        <v/>
      </c>
      <c r="AC87" s="39" t="s">
        <v>0</v>
      </c>
      <c r="AD87" s="37" t="str">
        <f t="shared" si="31"/>
        <v/>
      </c>
      <c r="AE87" s="56"/>
      <c r="AF87" s="37" t="str">
        <f t="shared" si="32"/>
        <v/>
      </c>
      <c r="AG87" s="39" t="s">
        <v>0</v>
      </c>
      <c r="AH87" s="37" t="str">
        <f t="shared" si="33"/>
        <v/>
      </c>
      <c r="AJ87" s="4" t="str">
        <f t="shared" si="34"/>
        <v>Ort</v>
      </c>
      <c r="AM87" s="4"/>
      <c r="AN87" s="4"/>
    </row>
    <row r="88" spans="1:40" s="30" customFormat="1" ht="15.75" hidden="1">
      <c r="A88" s="3" t="str">
        <f t="shared" si="35"/>
        <v/>
      </c>
      <c r="B88" s="349" t="str">
        <f t="shared" si="25"/>
        <v>00.00.2018</v>
      </c>
      <c r="C88" s="40" t="s">
        <v>75</v>
      </c>
      <c r="D88" s="41"/>
      <c r="E88" s="3">
        <v>1</v>
      </c>
      <c r="F88" s="3" t="str">
        <f>IF(H88&lt;21,COUNTIF(H$6:H88,"&lt;21"),"")</f>
        <v/>
      </c>
      <c r="G88" s="7" t="str">
        <f t="shared" si="36"/>
        <v/>
      </c>
      <c r="H88" s="348">
        <v>21</v>
      </c>
      <c r="I88" s="29" t="s">
        <v>16</v>
      </c>
      <c r="J88" s="348">
        <v>21</v>
      </c>
      <c r="K88" s="7" t="str">
        <f t="shared" si="26"/>
        <v/>
      </c>
      <c r="L88" s="348">
        <v>21</v>
      </c>
      <c r="M88" s="7" t="str">
        <f t="shared" si="27"/>
        <v/>
      </c>
      <c r="N88" s="38"/>
      <c r="O88" s="39" t="s">
        <v>0</v>
      </c>
      <c r="P88" s="38"/>
      <c r="Q88" s="38"/>
      <c r="R88" s="39" t="s">
        <v>0</v>
      </c>
      <c r="S88" s="38"/>
      <c r="T88" s="38"/>
      <c r="U88" s="39" t="s">
        <v>0</v>
      </c>
      <c r="V88" s="38"/>
      <c r="W88" s="37"/>
      <c r="X88" s="37" t="str">
        <f t="shared" si="28"/>
        <v/>
      </c>
      <c r="Y88" s="39" t="s">
        <v>0</v>
      </c>
      <c r="Z88" s="37" t="str">
        <f t="shared" si="29"/>
        <v/>
      </c>
      <c r="AA88" s="37"/>
      <c r="AB88" s="37" t="str">
        <f t="shared" si="30"/>
        <v/>
      </c>
      <c r="AC88" s="39" t="s">
        <v>0</v>
      </c>
      <c r="AD88" s="37" t="str">
        <f t="shared" si="31"/>
        <v/>
      </c>
      <c r="AE88" s="56"/>
      <c r="AF88" s="37" t="str">
        <f t="shared" si="32"/>
        <v/>
      </c>
      <c r="AG88" s="39" t="s">
        <v>0</v>
      </c>
      <c r="AH88" s="37" t="str">
        <f t="shared" si="33"/>
        <v/>
      </c>
      <c r="AJ88" s="4" t="str">
        <f t="shared" si="34"/>
        <v>Ort</v>
      </c>
    </row>
    <row r="89" spans="1:40" ht="15.75" hidden="1">
      <c r="A89" s="3" t="str">
        <f t="shared" si="35"/>
        <v/>
      </c>
      <c r="B89" s="349" t="str">
        <f t="shared" si="25"/>
        <v>00.00.2018</v>
      </c>
      <c r="C89" s="40" t="s">
        <v>75</v>
      </c>
      <c r="D89" s="41"/>
      <c r="E89" s="3">
        <v>1</v>
      </c>
      <c r="F89" s="3" t="str">
        <f>IF(H89&lt;21,COUNTIF(H$6:H89,"&lt;21"),"")</f>
        <v/>
      </c>
      <c r="G89" s="7" t="str">
        <f t="shared" si="36"/>
        <v/>
      </c>
      <c r="H89" s="348">
        <v>21</v>
      </c>
      <c r="I89" s="29" t="s">
        <v>16</v>
      </c>
      <c r="J89" s="348">
        <v>21</v>
      </c>
      <c r="K89" s="7" t="str">
        <f t="shared" si="26"/>
        <v/>
      </c>
      <c r="L89" s="348">
        <v>21</v>
      </c>
      <c r="M89" s="7" t="str">
        <f t="shared" si="27"/>
        <v/>
      </c>
      <c r="N89" s="38"/>
      <c r="O89" s="39" t="s">
        <v>0</v>
      </c>
      <c r="P89" s="38"/>
      <c r="Q89" s="38"/>
      <c r="R89" s="39" t="s">
        <v>0</v>
      </c>
      <c r="S89" s="38"/>
      <c r="T89" s="38"/>
      <c r="U89" s="39" t="s">
        <v>0</v>
      </c>
      <c r="V89" s="38"/>
      <c r="W89" s="37"/>
      <c r="X89" s="37" t="str">
        <f t="shared" si="28"/>
        <v/>
      </c>
      <c r="Y89" s="39" t="s">
        <v>0</v>
      </c>
      <c r="Z89" s="37" t="str">
        <f t="shared" si="29"/>
        <v/>
      </c>
      <c r="AA89" s="37"/>
      <c r="AB89" s="37" t="str">
        <f t="shared" si="30"/>
        <v/>
      </c>
      <c r="AC89" s="39" t="s">
        <v>0</v>
      </c>
      <c r="AD89" s="37" t="str">
        <f t="shared" si="31"/>
        <v/>
      </c>
      <c r="AE89" s="56"/>
      <c r="AF89" s="37" t="str">
        <f t="shared" si="32"/>
        <v/>
      </c>
      <c r="AG89" s="39" t="s">
        <v>0</v>
      </c>
      <c r="AH89" s="37" t="str">
        <f t="shared" si="33"/>
        <v/>
      </c>
      <c r="AJ89" s="4" t="str">
        <f t="shared" si="34"/>
        <v>Ort</v>
      </c>
      <c r="AM89" s="30"/>
      <c r="AN89" s="30"/>
    </row>
    <row r="90" spans="1:40" ht="15.75" hidden="1">
      <c r="A90" s="3" t="str">
        <f t="shared" si="35"/>
        <v/>
      </c>
      <c r="B90" s="349" t="str">
        <f t="shared" si="25"/>
        <v>00.00.2018</v>
      </c>
      <c r="C90" s="40" t="s">
        <v>75</v>
      </c>
      <c r="D90" s="41"/>
      <c r="E90" s="3">
        <v>1</v>
      </c>
      <c r="F90" s="3" t="str">
        <f>IF(H90&lt;21,COUNTIF(H$6:H90,"&lt;21"),"")</f>
        <v/>
      </c>
      <c r="G90" s="7" t="str">
        <f t="shared" si="36"/>
        <v/>
      </c>
      <c r="H90" s="348">
        <v>21</v>
      </c>
      <c r="I90" s="29" t="s">
        <v>16</v>
      </c>
      <c r="J90" s="348">
        <v>21</v>
      </c>
      <c r="K90" s="7" t="str">
        <f t="shared" si="26"/>
        <v/>
      </c>
      <c r="L90" s="348">
        <v>21</v>
      </c>
      <c r="M90" s="7" t="str">
        <f t="shared" si="27"/>
        <v/>
      </c>
      <c r="N90" s="38"/>
      <c r="O90" s="39" t="s">
        <v>0</v>
      </c>
      <c r="P90" s="38"/>
      <c r="Q90" s="38"/>
      <c r="R90" s="39" t="s">
        <v>0</v>
      </c>
      <c r="S90" s="38"/>
      <c r="T90" s="38"/>
      <c r="U90" s="39" t="s">
        <v>0</v>
      </c>
      <c r="V90" s="38"/>
      <c r="W90" s="37"/>
      <c r="X90" s="37" t="str">
        <f t="shared" si="28"/>
        <v/>
      </c>
      <c r="Y90" s="39" t="s">
        <v>0</v>
      </c>
      <c r="Z90" s="37" t="str">
        <f t="shared" si="29"/>
        <v/>
      </c>
      <c r="AA90" s="37"/>
      <c r="AB90" s="37" t="str">
        <f t="shared" si="30"/>
        <v/>
      </c>
      <c r="AC90" s="39" t="s">
        <v>0</v>
      </c>
      <c r="AD90" s="37" t="str">
        <f t="shared" si="31"/>
        <v/>
      </c>
      <c r="AE90" s="56"/>
      <c r="AF90" s="37" t="str">
        <f t="shared" si="32"/>
        <v/>
      </c>
      <c r="AG90" s="39" t="s">
        <v>0</v>
      </c>
      <c r="AH90" s="37" t="str">
        <f t="shared" si="33"/>
        <v/>
      </c>
      <c r="AJ90" s="4" t="str">
        <f t="shared" si="34"/>
        <v>Ort</v>
      </c>
    </row>
    <row r="91" spans="1:40" ht="15.75" hidden="1">
      <c r="A91" s="3" t="str">
        <f t="shared" si="35"/>
        <v/>
      </c>
      <c r="B91" s="349" t="str">
        <f t="shared" si="25"/>
        <v>00.00.2018</v>
      </c>
      <c r="C91" s="40" t="s">
        <v>75</v>
      </c>
      <c r="D91" s="41"/>
      <c r="E91" s="3">
        <v>1</v>
      </c>
      <c r="F91" s="3" t="str">
        <f>IF(H91&lt;21,COUNTIF(H$6:H91,"&lt;21"),"")</f>
        <v/>
      </c>
      <c r="G91" s="7" t="str">
        <f t="shared" si="36"/>
        <v/>
      </c>
      <c r="H91" s="348">
        <v>21</v>
      </c>
      <c r="I91" s="29" t="s">
        <v>16</v>
      </c>
      <c r="J91" s="348">
        <v>21</v>
      </c>
      <c r="K91" s="7" t="str">
        <f t="shared" si="26"/>
        <v/>
      </c>
      <c r="L91" s="348">
        <v>21</v>
      </c>
      <c r="M91" s="7" t="str">
        <f t="shared" si="27"/>
        <v/>
      </c>
      <c r="N91" s="38"/>
      <c r="O91" s="39" t="s">
        <v>0</v>
      </c>
      <c r="P91" s="38"/>
      <c r="Q91" s="38"/>
      <c r="R91" s="39" t="s">
        <v>0</v>
      </c>
      <c r="S91" s="38"/>
      <c r="T91" s="38"/>
      <c r="U91" s="39" t="s">
        <v>0</v>
      </c>
      <c r="V91" s="38"/>
      <c r="W91" s="37"/>
      <c r="X91" s="37" t="str">
        <f t="shared" si="28"/>
        <v/>
      </c>
      <c r="Y91" s="39" t="s">
        <v>0</v>
      </c>
      <c r="Z91" s="37" t="str">
        <f t="shared" si="29"/>
        <v/>
      </c>
      <c r="AA91" s="37"/>
      <c r="AB91" s="37" t="str">
        <f t="shared" si="30"/>
        <v/>
      </c>
      <c r="AC91" s="39" t="s">
        <v>0</v>
      </c>
      <c r="AD91" s="37" t="str">
        <f t="shared" si="31"/>
        <v/>
      </c>
      <c r="AE91" s="56"/>
      <c r="AF91" s="37" t="str">
        <f t="shared" si="32"/>
        <v/>
      </c>
      <c r="AG91" s="39" t="s">
        <v>0</v>
      </c>
      <c r="AH91" s="37" t="str">
        <f t="shared" si="33"/>
        <v/>
      </c>
      <c r="AJ91" s="4" t="str">
        <f t="shared" si="34"/>
        <v>Ort</v>
      </c>
    </row>
    <row r="92" spans="1:40" ht="15.75" hidden="1">
      <c r="A92" s="3" t="str">
        <f t="shared" si="35"/>
        <v/>
      </c>
      <c r="B92" s="349" t="str">
        <f t="shared" si="25"/>
        <v>00.00.2018</v>
      </c>
      <c r="C92" s="40" t="s">
        <v>75</v>
      </c>
      <c r="D92" s="41"/>
      <c r="E92" s="3">
        <v>1</v>
      </c>
      <c r="F92" s="3" t="str">
        <f>IF(H92&lt;21,COUNTIF(H$6:H92,"&lt;21"),"")</f>
        <v/>
      </c>
      <c r="G92" s="7" t="str">
        <f t="shared" si="36"/>
        <v/>
      </c>
      <c r="H92" s="348">
        <v>21</v>
      </c>
      <c r="I92" s="29" t="s">
        <v>16</v>
      </c>
      <c r="J92" s="348">
        <v>21</v>
      </c>
      <c r="K92" s="7" t="str">
        <f t="shared" si="26"/>
        <v/>
      </c>
      <c r="L92" s="348">
        <v>21</v>
      </c>
      <c r="M92" s="7" t="str">
        <f t="shared" si="27"/>
        <v/>
      </c>
      <c r="N92" s="38"/>
      <c r="O92" s="39" t="s">
        <v>0</v>
      </c>
      <c r="P92" s="38"/>
      <c r="Q92" s="38"/>
      <c r="R92" s="39" t="s">
        <v>0</v>
      </c>
      <c r="S92" s="38"/>
      <c r="T92" s="38"/>
      <c r="U92" s="39" t="s">
        <v>0</v>
      </c>
      <c r="V92" s="38"/>
      <c r="W92" s="37"/>
      <c r="X92" s="37" t="str">
        <f t="shared" si="28"/>
        <v/>
      </c>
      <c r="Y92" s="39" t="s">
        <v>0</v>
      </c>
      <c r="Z92" s="37" t="str">
        <f t="shared" si="29"/>
        <v/>
      </c>
      <c r="AA92" s="37"/>
      <c r="AB92" s="37" t="str">
        <f t="shared" si="30"/>
        <v/>
      </c>
      <c r="AC92" s="39" t="s">
        <v>0</v>
      </c>
      <c r="AD92" s="37" t="str">
        <f t="shared" si="31"/>
        <v/>
      </c>
      <c r="AE92" s="56"/>
      <c r="AF92" s="37" t="str">
        <f t="shared" si="32"/>
        <v/>
      </c>
      <c r="AG92" s="39" t="s">
        <v>0</v>
      </c>
      <c r="AH92" s="37" t="str">
        <f t="shared" si="33"/>
        <v/>
      </c>
      <c r="AJ92" s="4" t="str">
        <f t="shared" si="34"/>
        <v>Ort</v>
      </c>
    </row>
    <row r="93" spans="1:40" ht="15.75" hidden="1">
      <c r="A93" s="3" t="str">
        <f t="shared" si="35"/>
        <v/>
      </c>
      <c r="B93" s="349" t="str">
        <f t="shared" si="25"/>
        <v>00.00.2018</v>
      </c>
      <c r="C93" s="40" t="s">
        <v>75</v>
      </c>
      <c r="D93" s="41"/>
      <c r="E93" s="3">
        <v>1</v>
      </c>
      <c r="F93" s="3" t="str">
        <f>IF(H93&lt;21,COUNTIF(H$6:H93,"&lt;21"),"")</f>
        <v/>
      </c>
      <c r="G93" s="7" t="str">
        <f t="shared" si="36"/>
        <v/>
      </c>
      <c r="H93" s="348">
        <v>21</v>
      </c>
      <c r="I93" s="29" t="s">
        <v>16</v>
      </c>
      <c r="J93" s="348">
        <v>21</v>
      </c>
      <c r="K93" s="7" t="str">
        <f t="shared" si="26"/>
        <v/>
      </c>
      <c r="L93" s="348">
        <v>21</v>
      </c>
      <c r="M93" s="7" t="str">
        <f t="shared" si="27"/>
        <v/>
      </c>
      <c r="N93" s="38"/>
      <c r="O93" s="39" t="s">
        <v>0</v>
      </c>
      <c r="P93" s="38"/>
      <c r="Q93" s="38"/>
      <c r="R93" s="39" t="s">
        <v>0</v>
      </c>
      <c r="S93" s="38"/>
      <c r="T93" s="38"/>
      <c r="U93" s="39" t="s">
        <v>0</v>
      </c>
      <c r="V93" s="38"/>
      <c r="W93" s="37"/>
      <c r="X93" s="37" t="str">
        <f t="shared" si="28"/>
        <v/>
      </c>
      <c r="Y93" s="39" t="s">
        <v>0</v>
      </c>
      <c r="Z93" s="37" t="str">
        <f t="shared" si="29"/>
        <v/>
      </c>
      <c r="AA93" s="37"/>
      <c r="AB93" s="37" t="str">
        <f t="shared" si="30"/>
        <v/>
      </c>
      <c r="AC93" s="39" t="s">
        <v>0</v>
      </c>
      <c r="AD93" s="37" t="str">
        <f t="shared" si="31"/>
        <v/>
      </c>
      <c r="AE93" s="56"/>
      <c r="AF93" s="37" t="str">
        <f t="shared" si="32"/>
        <v/>
      </c>
      <c r="AG93" s="39" t="s">
        <v>0</v>
      </c>
      <c r="AH93" s="37" t="str">
        <f t="shared" si="33"/>
        <v/>
      </c>
      <c r="AJ93" s="4" t="str">
        <f t="shared" si="34"/>
        <v>Ort</v>
      </c>
    </row>
    <row r="94" spans="1:40" ht="15.75" hidden="1">
      <c r="A94" s="3" t="str">
        <f t="shared" si="35"/>
        <v/>
      </c>
      <c r="B94" s="349" t="str">
        <f t="shared" si="25"/>
        <v>00.00.2018</v>
      </c>
      <c r="C94" s="40" t="s">
        <v>75</v>
      </c>
      <c r="D94" s="41"/>
      <c r="E94" s="3">
        <v>1</v>
      </c>
      <c r="F94" s="3" t="str">
        <f>IF(H94&lt;21,COUNTIF(H$6:H94,"&lt;21"),"")</f>
        <v/>
      </c>
      <c r="G94" s="7" t="str">
        <f t="shared" si="36"/>
        <v/>
      </c>
      <c r="H94" s="348">
        <v>21</v>
      </c>
      <c r="I94" s="29" t="s">
        <v>16</v>
      </c>
      <c r="J94" s="348">
        <v>21</v>
      </c>
      <c r="K94" s="7" t="str">
        <f t="shared" si="26"/>
        <v/>
      </c>
      <c r="L94" s="348">
        <v>21</v>
      </c>
      <c r="M94" s="7" t="str">
        <f t="shared" si="27"/>
        <v/>
      </c>
      <c r="N94" s="38"/>
      <c r="O94" s="39" t="s">
        <v>0</v>
      </c>
      <c r="P94" s="38"/>
      <c r="Q94" s="38"/>
      <c r="R94" s="39" t="s">
        <v>0</v>
      </c>
      <c r="S94" s="38"/>
      <c r="T94" s="38"/>
      <c r="U94" s="39" t="s">
        <v>0</v>
      </c>
      <c r="V94" s="38"/>
      <c r="W94" s="37"/>
      <c r="X94" s="37" t="str">
        <f t="shared" si="28"/>
        <v/>
      </c>
      <c r="Y94" s="39" t="s">
        <v>0</v>
      </c>
      <c r="Z94" s="37" t="str">
        <f t="shared" si="29"/>
        <v/>
      </c>
      <c r="AA94" s="37"/>
      <c r="AB94" s="37" t="str">
        <f t="shared" si="30"/>
        <v/>
      </c>
      <c r="AC94" s="39" t="s">
        <v>0</v>
      </c>
      <c r="AD94" s="37" t="str">
        <f t="shared" si="31"/>
        <v/>
      </c>
      <c r="AE94" s="56"/>
      <c r="AF94" s="37" t="str">
        <f t="shared" si="32"/>
        <v/>
      </c>
      <c r="AG94" s="39" t="s">
        <v>0</v>
      </c>
      <c r="AH94" s="37" t="str">
        <f t="shared" si="33"/>
        <v/>
      </c>
      <c r="AJ94" s="4" t="str">
        <f t="shared" si="34"/>
        <v>Ort</v>
      </c>
    </row>
    <row r="95" spans="1:40" ht="15.75" hidden="1">
      <c r="A95" s="3" t="str">
        <f t="shared" si="35"/>
        <v/>
      </c>
      <c r="B95" s="349" t="str">
        <f t="shared" si="25"/>
        <v>00.00.2018</v>
      </c>
      <c r="C95" s="40" t="s">
        <v>75</v>
      </c>
      <c r="D95" s="41"/>
      <c r="E95" s="3">
        <v>1</v>
      </c>
      <c r="F95" s="3" t="str">
        <f>IF(H95&lt;21,COUNTIF(H$6:H95,"&lt;21"),"")</f>
        <v/>
      </c>
      <c r="G95" s="7" t="str">
        <f t="shared" si="36"/>
        <v/>
      </c>
      <c r="H95" s="348">
        <v>21</v>
      </c>
      <c r="I95" s="29" t="s">
        <v>16</v>
      </c>
      <c r="J95" s="348">
        <v>21</v>
      </c>
      <c r="K95" s="7" t="str">
        <f t="shared" si="26"/>
        <v/>
      </c>
      <c r="L95" s="348">
        <v>21</v>
      </c>
      <c r="M95" s="7" t="str">
        <f t="shared" si="27"/>
        <v/>
      </c>
      <c r="N95" s="38"/>
      <c r="O95" s="39" t="s">
        <v>0</v>
      </c>
      <c r="P95" s="38"/>
      <c r="Q95" s="38"/>
      <c r="R95" s="39" t="s">
        <v>0</v>
      </c>
      <c r="S95" s="38"/>
      <c r="T95" s="38"/>
      <c r="U95" s="39" t="s">
        <v>0</v>
      </c>
      <c r="V95" s="38"/>
      <c r="W95" s="37"/>
      <c r="X95" s="37" t="str">
        <f t="shared" si="28"/>
        <v/>
      </c>
      <c r="Y95" s="39" t="s">
        <v>0</v>
      </c>
      <c r="Z95" s="37" t="str">
        <f t="shared" si="29"/>
        <v/>
      </c>
      <c r="AA95" s="37"/>
      <c r="AB95" s="37" t="str">
        <f t="shared" si="30"/>
        <v/>
      </c>
      <c r="AC95" s="39" t="s">
        <v>0</v>
      </c>
      <c r="AD95" s="37" t="str">
        <f t="shared" si="31"/>
        <v/>
      </c>
      <c r="AE95" s="56"/>
      <c r="AF95" s="37" t="str">
        <f t="shared" si="32"/>
        <v/>
      </c>
      <c r="AG95" s="39" t="s">
        <v>0</v>
      </c>
      <c r="AH95" s="37" t="str">
        <f t="shared" si="33"/>
        <v/>
      </c>
      <c r="AJ95" s="4" t="str">
        <f t="shared" si="34"/>
        <v>Ort</v>
      </c>
    </row>
    <row r="96" spans="1:40" ht="15.75" hidden="1">
      <c r="A96" s="3" t="str">
        <f t="shared" si="35"/>
        <v/>
      </c>
      <c r="B96" s="349" t="str">
        <f t="shared" si="25"/>
        <v>00.00.2018</v>
      </c>
      <c r="C96" s="40" t="s">
        <v>75</v>
      </c>
      <c r="D96" s="41"/>
      <c r="E96" s="3">
        <v>1</v>
      </c>
      <c r="F96" s="3" t="str">
        <f>IF(H96&lt;21,COUNTIF(H$6:H96,"&lt;21"),"")</f>
        <v/>
      </c>
      <c r="G96" s="7" t="str">
        <f t="shared" si="36"/>
        <v/>
      </c>
      <c r="H96" s="348">
        <v>21</v>
      </c>
      <c r="I96" s="29" t="s">
        <v>16</v>
      </c>
      <c r="J96" s="348">
        <v>21</v>
      </c>
      <c r="K96" s="7" t="str">
        <f t="shared" si="26"/>
        <v/>
      </c>
      <c r="L96" s="348">
        <v>21</v>
      </c>
      <c r="M96" s="7" t="str">
        <f t="shared" si="27"/>
        <v/>
      </c>
      <c r="N96" s="38"/>
      <c r="O96" s="39" t="s">
        <v>0</v>
      </c>
      <c r="P96" s="38"/>
      <c r="Q96" s="38"/>
      <c r="R96" s="39" t="s">
        <v>0</v>
      </c>
      <c r="S96" s="38"/>
      <c r="T96" s="38"/>
      <c r="U96" s="39" t="s">
        <v>0</v>
      </c>
      <c r="V96" s="38"/>
      <c r="W96" s="37"/>
      <c r="X96" s="37" t="str">
        <f t="shared" si="28"/>
        <v/>
      </c>
      <c r="Y96" s="39" t="s">
        <v>0</v>
      </c>
      <c r="Z96" s="37" t="str">
        <f t="shared" si="29"/>
        <v/>
      </c>
      <c r="AA96" s="37"/>
      <c r="AB96" s="37" t="str">
        <f t="shared" si="30"/>
        <v/>
      </c>
      <c r="AC96" s="39" t="s">
        <v>0</v>
      </c>
      <c r="AD96" s="37" t="str">
        <f t="shared" si="31"/>
        <v/>
      </c>
      <c r="AE96" s="56"/>
      <c r="AF96" s="37" t="str">
        <f t="shared" si="32"/>
        <v/>
      </c>
      <c r="AG96" s="39" t="s">
        <v>0</v>
      </c>
      <c r="AH96" s="37" t="str">
        <f t="shared" si="33"/>
        <v/>
      </c>
      <c r="AJ96" s="4" t="str">
        <f t="shared" si="34"/>
        <v>Ort</v>
      </c>
    </row>
    <row r="97" spans="1:73" ht="15.75" hidden="1">
      <c r="A97" s="3" t="str">
        <f t="shared" si="35"/>
        <v/>
      </c>
      <c r="B97" s="349" t="str">
        <f t="shared" si="25"/>
        <v>00.00.2018</v>
      </c>
      <c r="C97" s="40" t="s">
        <v>75</v>
      </c>
      <c r="D97" s="41"/>
      <c r="E97" s="3">
        <v>1</v>
      </c>
      <c r="F97" s="3" t="str">
        <f>IF(H97&lt;21,COUNTIF(H$6:H97,"&lt;21"),"")</f>
        <v/>
      </c>
      <c r="G97" s="7" t="str">
        <f t="shared" si="36"/>
        <v/>
      </c>
      <c r="H97" s="348">
        <v>21</v>
      </c>
      <c r="I97" s="29" t="s">
        <v>16</v>
      </c>
      <c r="J97" s="348">
        <v>21</v>
      </c>
      <c r="K97" s="7" t="str">
        <f t="shared" si="26"/>
        <v/>
      </c>
      <c r="L97" s="348">
        <v>21</v>
      </c>
      <c r="M97" s="7" t="str">
        <f t="shared" si="27"/>
        <v/>
      </c>
      <c r="N97" s="38"/>
      <c r="O97" s="39" t="s">
        <v>0</v>
      </c>
      <c r="P97" s="38"/>
      <c r="Q97" s="38"/>
      <c r="R97" s="39" t="s">
        <v>0</v>
      </c>
      <c r="S97" s="38"/>
      <c r="T97" s="38"/>
      <c r="U97" s="39" t="s">
        <v>0</v>
      </c>
      <c r="V97" s="38"/>
      <c r="W97" s="37"/>
      <c r="X97" s="37" t="str">
        <f t="shared" si="28"/>
        <v/>
      </c>
      <c r="Y97" s="39" t="s">
        <v>0</v>
      </c>
      <c r="Z97" s="37" t="str">
        <f t="shared" si="29"/>
        <v/>
      </c>
      <c r="AA97" s="37"/>
      <c r="AB97" s="37" t="str">
        <f t="shared" si="30"/>
        <v/>
      </c>
      <c r="AC97" s="39" t="s">
        <v>0</v>
      </c>
      <c r="AD97" s="37" t="str">
        <f t="shared" si="31"/>
        <v/>
      </c>
      <c r="AE97" s="56"/>
      <c r="AF97" s="37" t="str">
        <f t="shared" si="32"/>
        <v/>
      </c>
      <c r="AG97" s="39" t="s">
        <v>0</v>
      </c>
      <c r="AH97" s="37" t="str">
        <f t="shared" si="33"/>
        <v/>
      </c>
      <c r="AJ97" s="4" t="str">
        <f t="shared" si="34"/>
        <v>Ort</v>
      </c>
    </row>
    <row r="98" spans="1:73" ht="15.75" hidden="1">
      <c r="A98" s="3" t="str">
        <f t="shared" si="35"/>
        <v/>
      </c>
      <c r="B98" s="349" t="str">
        <f t="shared" si="25"/>
        <v>00.00.2018</v>
      </c>
      <c r="C98" s="40" t="s">
        <v>75</v>
      </c>
      <c r="D98" s="41"/>
      <c r="E98" s="3">
        <v>1</v>
      </c>
      <c r="F98" s="3" t="str">
        <f>IF(H98&lt;21,COUNTIF(H$6:H98,"&lt;21"),"")</f>
        <v/>
      </c>
      <c r="G98" s="7" t="str">
        <f t="shared" si="36"/>
        <v/>
      </c>
      <c r="H98" s="348">
        <v>21</v>
      </c>
      <c r="I98" s="29" t="s">
        <v>16</v>
      </c>
      <c r="J98" s="348">
        <v>21</v>
      </c>
      <c r="K98" s="7" t="str">
        <f t="shared" si="26"/>
        <v/>
      </c>
      <c r="L98" s="348">
        <v>21</v>
      </c>
      <c r="M98" s="7" t="str">
        <f t="shared" si="27"/>
        <v/>
      </c>
      <c r="N98" s="38"/>
      <c r="O98" s="39" t="s">
        <v>0</v>
      </c>
      <c r="P98" s="38"/>
      <c r="Q98" s="38"/>
      <c r="R98" s="39" t="s">
        <v>0</v>
      </c>
      <c r="S98" s="38"/>
      <c r="T98" s="38"/>
      <c r="U98" s="39" t="s">
        <v>0</v>
      </c>
      <c r="V98" s="38"/>
      <c r="W98" s="37"/>
      <c r="X98" s="37" t="str">
        <f t="shared" si="28"/>
        <v/>
      </c>
      <c r="Y98" s="39" t="s">
        <v>0</v>
      </c>
      <c r="Z98" s="37" t="str">
        <f t="shared" si="29"/>
        <v/>
      </c>
      <c r="AA98" s="37"/>
      <c r="AB98" s="37" t="str">
        <f t="shared" si="30"/>
        <v/>
      </c>
      <c r="AC98" s="39" t="s">
        <v>0</v>
      </c>
      <c r="AD98" s="37" t="str">
        <f t="shared" si="31"/>
        <v/>
      </c>
      <c r="AE98" s="56"/>
      <c r="AF98" s="37" t="str">
        <f t="shared" si="32"/>
        <v/>
      </c>
      <c r="AG98" s="39" t="s">
        <v>0</v>
      </c>
      <c r="AH98" s="37" t="str">
        <f t="shared" si="33"/>
        <v/>
      </c>
      <c r="AJ98" s="4" t="str">
        <f t="shared" si="34"/>
        <v>Ort</v>
      </c>
    </row>
    <row r="99" spans="1:73" ht="15.75" hidden="1">
      <c r="A99" s="3" t="str">
        <f t="shared" si="35"/>
        <v/>
      </c>
      <c r="B99" s="349" t="str">
        <f t="shared" si="25"/>
        <v>00.00.2018</v>
      </c>
      <c r="C99" s="40" t="s">
        <v>75</v>
      </c>
      <c r="D99" s="41"/>
      <c r="E99" s="3">
        <v>1</v>
      </c>
      <c r="F99" s="3" t="str">
        <f>IF(H99&lt;21,COUNTIF(H$6:H99,"&lt;21"),"")</f>
        <v/>
      </c>
      <c r="G99" s="7" t="str">
        <f t="shared" si="36"/>
        <v/>
      </c>
      <c r="H99" s="348">
        <v>21</v>
      </c>
      <c r="I99" s="29" t="s">
        <v>16</v>
      </c>
      <c r="J99" s="348">
        <v>21</v>
      </c>
      <c r="K99" s="7" t="str">
        <f t="shared" si="26"/>
        <v/>
      </c>
      <c r="L99" s="348">
        <v>21</v>
      </c>
      <c r="M99" s="7" t="str">
        <f t="shared" si="27"/>
        <v/>
      </c>
      <c r="N99" s="38"/>
      <c r="O99" s="39" t="s">
        <v>0</v>
      </c>
      <c r="P99" s="38"/>
      <c r="Q99" s="38"/>
      <c r="R99" s="39" t="s">
        <v>0</v>
      </c>
      <c r="S99" s="38"/>
      <c r="T99" s="38"/>
      <c r="U99" s="39" t="s">
        <v>0</v>
      </c>
      <c r="V99" s="38"/>
      <c r="W99" s="37"/>
      <c r="X99" s="37" t="str">
        <f t="shared" si="28"/>
        <v/>
      </c>
      <c r="Y99" s="39" t="s">
        <v>0</v>
      </c>
      <c r="Z99" s="37" t="str">
        <f t="shared" si="29"/>
        <v/>
      </c>
      <c r="AA99" s="37"/>
      <c r="AB99" s="37" t="str">
        <f t="shared" si="30"/>
        <v/>
      </c>
      <c r="AC99" s="39" t="s">
        <v>0</v>
      </c>
      <c r="AD99" s="37" t="str">
        <f t="shared" si="31"/>
        <v/>
      </c>
      <c r="AE99" s="56"/>
      <c r="AF99" s="37" t="str">
        <f t="shared" si="32"/>
        <v/>
      </c>
      <c r="AG99" s="39" t="s">
        <v>0</v>
      </c>
      <c r="AH99" s="37" t="str">
        <f t="shared" si="33"/>
        <v/>
      </c>
      <c r="AJ99" s="4" t="str">
        <f t="shared" si="34"/>
        <v>Ort</v>
      </c>
    </row>
    <row r="100" spans="1:73" ht="15.75" hidden="1">
      <c r="A100" s="3" t="str">
        <f t="shared" si="35"/>
        <v/>
      </c>
      <c r="B100" s="349" t="str">
        <f t="shared" si="25"/>
        <v>00.00.2018</v>
      </c>
      <c r="C100" s="40" t="s">
        <v>75</v>
      </c>
      <c r="D100" s="41"/>
      <c r="E100" s="3">
        <v>1</v>
      </c>
      <c r="F100" s="3" t="str">
        <f>IF(H100&lt;21,COUNTIF(H$6:H100,"&lt;21"),"")</f>
        <v/>
      </c>
      <c r="G100" s="7" t="str">
        <f t="shared" si="36"/>
        <v/>
      </c>
      <c r="H100" s="348">
        <v>21</v>
      </c>
      <c r="I100" s="29" t="s">
        <v>16</v>
      </c>
      <c r="J100" s="348">
        <v>21</v>
      </c>
      <c r="K100" s="7" t="str">
        <f t="shared" si="26"/>
        <v/>
      </c>
      <c r="L100" s="348">
        <v>21</v>
      </c>
      <c r="M100" s="7" t="str">
        <f t="shared" si="27"/>
        <v/>
      </c>
      <c r="N100" s="38"/>
      <c r="O100" s="39" t="s">
        <v>0</v>
      </c>
      <c r="P100" s="38"/>
      <c r="Q100" s="38"/>
      <c r="R100" s="39" t="s">
        <v>0</v>
      </c>
      <c r="S100" s="38"/>
      <c r="T100" s="38"/>
      <c r="U100" s="39" t="s">
        <v>0</v>
      </c>
      <c r="V100" s="38"/>
      <c r="W100" s="37"/>
      <c r="X100" s="37" t="str">
        <f t="shared" si="28"/>
        <v/>
      </c>
      <c r="Y100" s="39" t="s">
        <v>0</v>
      </c>
      <c r="Z100" s="37" t="str">
        <f t="shared" si="29"/>
        <v/>
      </c>
      <c r="AA100" s="37"/>
      <c r="AB100" s="37" t="str">
        <f t="shared" si="30"/>
        <v/>
      </c>
      <c r="AC100" s="39" t="s">
        <v>0</v>
      </c>
      <c r="AD100" s="37" t="str">
        <f t="shared" si="31"/>
        <v/>
      </c>
      <c r="AE100" s="56"/>
      <c r="AF100" s="37" t="str">
        <f t="shared" si="32"/>
        <v/>
      </c>
      <c r="AG100" s="39" t="s">
        <v>0</v>
      </c>
      <c r="AH100" s="37" t="str">
        <f t="shared" si="33"/>
        <v/>
      </c>
      <c r="AJ100" s="4" t="str">
        <f t="shared" si="34"/>
        <v>Ort</v>
      </c>
    </row>
    <row r="101" spans="1:73" ht="15.75" hidden="1">
      <c r="A101" s="3" t="str">
        <f t="shared" si="35"/>
        <v/>
      </c>
      <c r="B101" s="349" t="str">
        <f t="shared" si="25"/>
        <v>00.00.2018</v>
      </c>
      <c r="C101" s="40" t="s">
        <v>75</v>
      </c>
      <c r="D101" s="41"/>
      <c r="E101" s="3">
        <v>1</v>
      </c>
      <c r="F101" s="3" t="str">
        <f>IF(H101&lt;21,COUNTIF(H$6:H101,"&lt;21"),"")</f>
        <v/>
      </c>
      <c r="G101" s="7" t="str">
        <f t="shared" si="36"/>
        <v/>
      </c>
      <c r="H101" s="348">
        <v>21</v>
      </c>
      <c r="I101" s="29" t="s">
        <v>16</v>
      </c>
      <c r="J101" s="348">
        <v>21</v>
      </c>
      <c r="K101" s="7" t="str">
        <f t="shared" si="26"/>
        <v/>
      </c>
      <c r="L101" s="348">
        <v>21</v>
      </c>
      <c r="M101" s="7" t="str">
        <f t="shared" si="27"/>
        <v/>
      </c>
      <c r="N101" s="38"/>
      <c r="O101" s="39" t="s">
        <v>0</v>
      </c>
      <c r="P101" s="38"/>
      <c r="Q101" s="38"/>
      <c r="R101" s="39" t="s">
        <v>0</v>
      </c>
      <c r="S101" s="38"/>
      <c r="T101" s="38"/>
      <c r="U101" s="39" t="s">
        <v>0</v>
      </c>
      <c r="V101" s="38"/>
      <c r="W101" s="37"/>
      <c r="X101" s="37" t="str">
        <f t="shared" si="28"/>
        <v/>
      </c>
      <c r="Y101" s="39" t="s">
        <v>0</v>
      </c>
      <c r="Z101" s="37" t="str">
        <f t="shared" si="29"/>
        <v/>
      </c>
      <c r="AA101" s="37"/>
      <c r="AB101" s="37" t="str">
        <f t="shared" si="30"/>
        <v/>
      </c>
      <c r="AC101" s="39" t="s">
        <v>0</v>
      </c>
      <c r="AD101" s="37" t="str">
        <f t="shared" si="31"/>
        <v/>
      </c>
      <c r="AE101" s="56"/>
      <c r="AF101" s="37" t="str">
        <f t="shared" si="32"/>
        <v/>
      </c>
      <c r="AG101" s="39" t="s">
        <v>0</v>
      </c>
      <c r="AH101" s="37" t="str">
        <f t="shared" si="33"/>
        <v/>
      </c>
      <c r="AJ101" s="4" t="str">
        <f t="shared" si="34"/>
        <v>Ort</v>
      </c>
    </row>
    <row r="102" spans="1:73" ht="15.75" hidden="1">
      <c r="A102" s="3" t="str">
        <f t="shared" si="35"/>
        <v/>
      </c>
      <c r="B102" s="349" t="str">
        <f t="shared" si="25"/>
        <v>00.00.2018</v>
      </c>
      <c r="C102" s="40" t="s">
        <v>75</v>
      </c>
      <c r="D102" s="41"/>
      <c r="E102" s="3">
        <v>1</v>
      </c>
      <c r="F102" s="3" t="str">
        <f>IF(H102&lt;21,COUNTIF(H$6:H102,"&lt;21"),"")</f>
        <v/>
      </c>
      <c r="G102" s="7" t="str">
        <f t="shared" si="36"/>
        <v/>
      </c>
      <c r="H102" s="348">
        <v>21</v>
      </c>
      <c r="I102" s="29" t="s">
        <v>16</v>
      </c>
      <c r="J102" s="348">
        <v>21</v>
      </c>
      <c r="K102" s="7" t="str">
        <f t="shared" si="26"/>
        <v/>
      </c>
      <c r="L102" s="348">
        <v>21</v>
      </c>
      <c r="M102" s="7" t="str">
        <f t="shared" si="27"/>
        <v/>
      </c>
      <c r="N102" s="38"/>
      <c r="O102" s="39" t="s">
        <v>0</v>
      </c>
      <c r="P102" s="38"/>
      <c r="Q102" s="38"/>
      <c r="R102" s="39" t="s">
        <v>0</v>
      </c>
      <c r="S102" s="38"/>
      <c r="T102" s="38"/>
      <c r="U102" s="39" t="s">
        <v>0</v>
      </c>
      <c r="V102" s="38"/>
      <c r="W102" s="37"/>
      <c r="X102" s="37" t="str">
        <f t="shared" si="28"/>
        <v/>
      </c>
      <c r="Y102" s="39" t="s">
        <v>0</v>
      </c>
      <c r="Z102" s="37" t="str">
        <f t="shared" si="29"/>
        <v/>
      </c>
      <c r="AA102" s="37"/>
      <c r="AB102" s="37" t="str">
        <f t="shared" si="30"/>
        <v/>
      </c>
      <c r="AC102" s="39" t="s">
        <v>0</v>
      </c>
      <c r="AD102" s="37" t="str">
        <f t="shared" si="31"/>
        <v/>
      </c>
      <c r="AE102" s="56"/>
      <c r="AF102" s="37" t="str">
        <f t="shared" si="32"/>
        <v/>
      </c>
      <c r="AG102" s="39" t="s">
        <v>0</v>
      </c>
      <c r="AH102" s="37" t="str">
        <f t="shared" si="33"/>
        <v/>
      </c>
      <c r="AJ102" s="4" t="str">
        <f t="shared" si="34"/>
        <v>Ort</v>
      </c>
    </row>
    <row r="103" spans="1:73" ht="15.75" hidden="1">
      <c r="A103" s="3" t="str">
        <f t="shared" si="35"/>
        <v/>
      </c>
      <c r="B103" s="349" t="str">
        <f t="shared" si="25"/>
        <v>00.00.2018</v>
      </c>
      <c r="C103" s="40" t="s">
        <v>75</v>
      </c>
      <c r="D103" s="41"/>
      <c r="E103" s="3">
        <v>1</v>
      </c>
      <c r="F103" s="3" t="str">
        <f>IF(H103&lt;21,COUNTIF(H$6:H103,"&lt;21"),"")</f>
        <v/>
      </c>
      <c r="G103" s="7" t="str">
        <f t="shared" si="36"/>
        <v/>
      </c>
      <c r="H103" s="348">
        <v>21</v>
      </c>
      <c r="I103" s="29" t="s">
        <v>16</v>
      </c>
      <c r="J103" s="348">
        <v>21</v>
      </c>
      <c r="K103" s="7" t="str">
        <f t="shared" si="26"/>
        <v/>
      </c>
      <c r="L103" s="348">
        <v>21</v>
      </c>
      <c r="M103" s="7" t="str">
        <f t="shared" si="27"/>
        <v/>
      </c>
      <c r="N103" s="38"/>
      <c r="O103" s="39" t="s">
        <v>0</v>
      </c>
      <c r="P103" s="38"/>
      <c r="Q103" s="38"/>
      <c r="R103" s="39" t="s">
        <v>0</v>
      </c>
      <c r="S103" s="38"/>
      <c r="T103" s="38"/>
      <c r="U103" s="39" t="s">
        <v>0</v>
      </c>
      <c r="V103" s="38"/>
      <c r="W103" s="37"/>
      <c r="X103" s="37" t="str">
        <f t="shared" si="28"/>
        <v/>
      </c>
      <c r="Y103" s="39" t="s">
        <v>0</v>
      </c>
      <c r="Z103" s="37" t="str">
        <f t="shared" si="29"/>
        <v/>
      </c>
      <c r="AA103" s="37"/>
      <c r="AB103" s="37" t="str">
        <f t="shared" si="30"/>
        <v/>
      </c>
      <c r="AC103" s="39" t="s">
        <v>0</v>
      </c>
      <c r="AD103" s="37" t="str">
        <f t="shared" si="31"/>
        <v/>
      </c>
      <c r="AE103" s="56"/>
      <c r="AF103" s="37" t="str">
        <f t="shared" si="32"/>
        <v/>
      </c>
      <c r="AG103" s="39" t="s">
        <v>0</v>
      </c>
      <c r="AH103" s="37" t="str">
        <f t="shared" si="33"/>
        <v/>
      </c>
      <c r="AJ103" s="4" t="str">
        <f t="shared" si="34"/>
        <v>Ort</v>
      </c>
    </row>
    <row r="104" spans="1:73">
      <c r="W104" s="34"/>
      <c r="X104" s="34"/>
      <c r="Y104" s="34"/>
      <c r="Z104" s="34"/>
      <c r="AE104" s="57"/>
    </row>
    <row r="105" spans="1:73">
      <c r="A105" s="149"/>
      <c r="B105" s="149"/>
      <c r="W105" s="34"/>
      <c r="X105" s="34"/>
      <c r="Y105" s="34"/>
      <c r="Z105" s="34"/>
      <c r="AE105" s="57"/>
    </row>
    <row r="106" spans="1:73" s="17" customFormat="1" ht="20.25">
      <c r="C106" s="14"/>
      <c r="D106" s="15"/>
      <c r="E106" s="15"/>
      <c r="F106" s="16" t="s">
        <v>37</v>
      </c>
      <c r="I106" s="16"/>
      <c r="J106" s="16"/>
      <c r="K106" s="362" t="s">
        <v>145</v>
      </c>
      <c r="L106" s="362"/>
      <c r="M106" s="363" t="s">
        <v>146</v>
      </c>
      <c r="N106" s="14"/>
      <c r="O106" s="14"/>
      <c r="P106" s="364" t="s">
        <v>147</v>
      </c>
      <c r="Q106" s="14"/>
      <c r="R106" s="14"/>
      <c r="S106" s="14"/>
      <c r="T106" s="14"/>
      <c r="U106" s="14"/>
      <c r="V106" s="14"/>
      <c r="W106" s="35"/>
      <c r="X106" s="378" t="s">
        <v>154</v>
      </c>
      <c r="Y106" s="35"/>
      <c r="Z106" s="35"/>
      <c r="AA106" s="35"/>
      <c r="AB106" s="35"/>
      <c r="AC106" s="35"/>
      <c r="AD106" s="35"/>
      <c r="AE106" s="54"/>
      <c r="AF106" s="35"/>
      <c r="AG106" s="35"/>
      <c r="AH106" s="35"/>
      <c r="AM106" s="4"/>
      <c r="AN106" s="4"/>
    </row>
    <row r="107" spans="1:73" s="30" customFormat="1" ht="20.25">
      <c r="A107" s="147" t="s">
        <v>13</v>
      </c>
      <c r="B107" s="20" t="s">
        <v>83</v>
      </c>
      <c r="C107" s="25" t="s">
        <v>8</v>
      </c>
      <c r="D107" s="26" t="s">
        <v>4</v>
      </c>
      <c r="E107" s="26" t="s">
        <v>3</v>
      </c>
      <c r="F107" s="26" t="s">
        <v>13</v>
      </c>
      <c r="G107" s="347" t="s">
        <v>7</v>
      </c>
      <c r="H107" s="348" t="s">
        <v>24</v>
      </c>
      <c r="I107" s="29"/>
      <c r="J107" s="7" t="s">
        <v>25</v>
      </c>
      <c r="K107" s="347" t="s">
        <v>6</v>
      </c>
      <c r="L107" s="348" t="s">
        <v>76</v>
      </c>
      <c r="M107" s="29" t="s">
        <v>5</v>
      </c>
      <c r="N107" s="394" t="s">
        <v>29</v>
      </c>
      <c r="O107" s="394"/>
      <c r="P107" s="394"/>
      <c r="Q107" s="394" t="s">
        <v>30</v>
      </c>
      <c r="R107" s="394"/>
      <c r="S107" s="394"/>
      <c r="T107" s="394" t="s">
        <v>31</v>
      </c>
      <c r="U107" s="394"/>
      <c r="V107" s="394"/>
      <c r="W107" s="39"/>
      <c r="X107" s="395" t="s">
        <v>2</v>
      </c>
      <c r="Y107" s="395"/>
      <c r="Z107" s="395"/>
      <c r="AA107" s="39"/>
      <c r="AB107" s="395" t="s">
        <v>32</v>
      </c>
      <c r="AC107" s="395"/>
      <c r="AD107" s="395"/>
      <c r="AE107" s="55"/>
      <c r="AF107" s="395" t="s">
        <v>28</v>
      </c>
      <c r="AG107" s="395"/>
      <c r="AH107" s="395"/>
      <c r="AM107" s="17"/>
      <c r="AN107" s="17"/>
      <c r="BU107" s="365" t="s">
        <v>135</v>
      </c>
    </row>
    <row r="108" spans="1:73" ht="15.75">
      <c r="A108" s="3">
        <f>F108</f>
        <v>31</v>
      </c>
      <c r="B108" s="349" t="str">
        <f>K$106</f>
        <v>00.00.2018</v>
      </c>
      <c r="C108" s="366">
        <v>0.39583333333333331</v>
      </c>
      <c r="D108" s="353">
        <v>1</v>
      </c>
      <c r="E108" s="354">
        <v>1</v>
      </c>
      <c r="F108" s="354">
        <f>IF(H108&lt;21,COUNTIF(H$6:H108,"&lt;21"),"")</f>
        <v>31</v>
      </c>
      <c r="G108" s="355" t="str">
        <f>IF(H108=21,"",INDEX($AM$7:$AN$27,H108,2))</f>
        <v>Team 1</v>
      </c>
      <c r="H108" s="343">
        <v>1</v>
      </c>
      <c r="I108" s="29" t="s">
        <v>16</v>
      </c>
      <c r="J108" s="343">
        <v>5</v>
      </c>
      <c r="K108" s="355" t="str">
        <f t="shared" ref="K108:K137" si="37">IF(J108=21,"",INDEX($AM$7:$AN$27,J108,2))</f>
        <v>Team 5</v>
      </c>
      <c r="L108" s="343">
        <v>9</v>
      </c>
      <c r="M108" s="355" t="str">
        <f t="shared" ref="M108:M137" si="38">IF(L108=21,"",INDEX($AM$7:$AN$27,L108,2))</f>
        <v>Team 9</v>
      </c>
      <c r="N108" s="357"/>
      <c r="O108" s="358" t="s">
        <v>0</v>
      </c>
      <c r="P108" s="357"/>
      <c r="Q108" s="357"/>
      <c r="R108" s="358" t="s">
        <v>0</v>
      </c>
      <c r="S108" s="357"/>
      <c r="T108" s="357"/>
      <c r="U108" s="358" t="s">
        <v>0</v>
      </c>
      <c r="V108" s="357"/>
      <c r="W108" s="359"/>
      <c r="X108" s="359" t="str">
        <f t="shared" ref="X108:X137" si="39">IF(N108+P108&gt;0,IF(AB108&gt;0,IF(AB108&gt;AD108,2,IF(AB108&lt;AD108,0,1)),0),"")</f>
        <v/>
      </c>
      <c r="Y108" s="358" t="s">
        <v>0</v>
      </c>
      <c r="Z108" s="359" t="str">
        <f t="shared" ref="Z108:Z137" si="40">IF(N108+P108&gt;0,IF(AD108&gt;0,IF(AD108&gt;AB108,2,IF(AD108&lt;AB108,0,1)),0),"")</f>
        <v/>
      </c>
      <c r="AA108" s="359"/>
      <c r="AB108" s="359" t="str">
        <f t="shared" ref="AB108:AB137" si="41">IF(N108+P108&gt;0,IF(N108&gt;P108,1,0)+IF(Q108&gt;S108,1,0)+IF(T108&gt;V108,1,0),"")</f>
        <v/>
      </c>
      <c r="AC108" s="358" t="s">
        <v>0</v>
      </c>
      <c r="AD108" s="359" t="str">
        <f t="shared" ref="AD108:AD137" si="42">IF(N108+P108&gt;0,IF(N108&lt;P108,1,0)+IF(Q108&lt;S108,1,0)+IF(T108&lt;V108,1,0),"")</f>
        <v/>
      </c>
      <c r="AE108" s="360"/>
      <c r="AF108" s="359" t="str">
        <f t="shared" ref="AF108:AF137" si="43">IF(N108+P108&gt;0,N108+Q108+T108,"")</f>
        <v/>
      </c>
      <c r="AG108" s="358" t="s">
        <v>0</v>
      </c>
      <c r="AH108" s="359" t="str">
        <f t="shared" ref="AH108:AH137" si="44">IF(N108+P108&gt;0,P108+S108+V108,"")</f>
        <v/>
      </c>
      <c r="AJ108" s="4" t="str">
        <f>M$106</f>
        <v>Ort</v>
      </c>
      <c r="AM108" s="30"/>
      <c r="AN108" s="30"/>
      <c r="AQ108" s="4" t="s">
        <v>134</v>
      </c>
      <c r="AR108" s="4" t="str">
        <f>Platzierung!T23</f>
        <v>Team 3</v>
      </c>
      <c r="BU108" s="4" t="str">
        <f>Platzierung!T27</f>
        <v>Team 7</v>
      </c>
    </row>
    <row r="109" spans="1:73" ht="15.75">
      <c r="A109" s="3">
        <f t="shared" ref="A109:A137" si="45">F109</f>
        <v>32</v>
      </c>
      <c r="B109" s="349" t="str">
        <f t="shared" ref="B109:B137" si="46">K$106</f>
        <v>00.00.2018</v>
      </c>
      <c r="C109" s="40" t="s">
        <v>75</v>
      </c>
      <c r="D109" s="41">
        <v>2</v>
      </c>
      <c r="E109" s="3">
        <v>1</v>
      </c>
      <c r="F109" s="3">
        <f>IF(H109&lt;21,COUNTIF(H$6:H109,"&lt;21"),"")</f>
        <v>32</v>
      </c>
      <c r="G109" s="7" t="str">
        <f t="shared" ref="G109:G137" si="47">IF(H109=21,"",INDEX($AM$7:$AN$27,H109,2))</f>
        <v>Team 1</v>
      </c>
      <c r="H109" s="343">
        <v>1</v>
      </c>
      <c r="I109" s="29" t="s">
        <v>16</v>
      </c>
      <c r="J109" s="343">
        <v>9</v>
      </c>
      <c r="K109" s="7" t="str">
        <f t="shared" si="37"/>
        <v>Team 9</v>
      </c>
      <c r="L109" s="343">
        <v>5</v>
      </c>
      <c r="M109" s="7" t="str">
        <f t="shared" si="38"/>
        <v>Team 5</v>
      </c>
      <c r="N109" s="38"/>
      <c r="O109" s="39" t="s">
        <v>0</v>
      </c>
      <c r="P109" s="38"/>
      <c r="Q109" s="38"/>
      <c r="R109" s="39" t="s">
        <v>0</v>
      </c>
      <c r="S109" s="38"/>
      <c r="T109" s="38"/>
      <c r="U109" s="39" t="s">
        <v>0</v>
      </c>
      <c r="V109" s="38"/>
      <c r="W109" s="37"/>
      <c r="X109" s="37" t="str">
        <f t="shared" si="39"/>
        <v/>
      </c>
      <c r="Y109" s="39" t="s">
        <v>0</v>
      </c>
      <c r="Z109" s="37" t="str">
        <f t="shared" si="40"/>
        <v/>
      </c>
      <c r="AA109" s="37"/>
      <c r="AB109" s="37" t="str">
        <f t="shared" si="41"/>
        <v/>
      </c>
      <c r="AC109" s="39" t="s">
        <v>0</v>
      </c>
      <c r="AD109" s="37" t="str">
        <f t="shared" si="42"/>
        <v/>
      </c>
      <c r="AE109" s="56"/>
      <c r="AF109" s="37" t="str">
        <f t="shared" si="43"/>
        <v/>
      </c>
      <c r="AG109" s="39" t="s">
        <v>0</v>
      </c>
      <c r="AH109" s="37" t="str">
        <f t="shared" si="44"/>
        <v/>
      </c>
      <c r="AJ109" s="4" t="str">
        <f t="shared" ref="AJ109:AJ137" si="48">M$106</f>
        <v>Ort</v>
      </c>
      <c r="AQ109" s="4" t="s">
        <v>134</v>
      </c>
      <c r="AR109" s="4" t="str">
        <f>Platzierung!T24</f>
        <v>Team 4</v>
      </c>
      <c r="BU109" s="4" t="str">
        <f>Platzierung!T28</f>
        <v>Team 8</v>
      </c>
    </row>
    <row r="110" spans="1:73" ht="15.75">
      <c r="A110" s="3">
        <f>F110</f>
        <v>33</v>
      </c>
      <c r="B110" s="349" t="str">
        <f t="shared" si="46"/>
        <v>00.00.2018</v>
      </c>
      <c r="C110" s="352" t="s">
        <v>75</v>
      </c>
      <c r="D110" s="353">
        <v>3</v>
      </c>
      <c r="E110" s="354">
        <v>1</v>
      </c>
      <c r="F110" s="354">
        <f>IF(H110&lt;21,COUNTIF(H$6:H110,"&lt;21"),"")</f>
        <v>33</v>
      </c>
      <c r="G110" s="355" t="str">
        <f>IF(H110=21,"",INDEX($AM$7:$AN$27,H110,2))</f>
        <v>Team 5</v>
      </c>
      <c r="H110" s="343">
        <v>5</v>
      </c>
      <c r="I110" s="29" t="s">
        <v>16</v>
      </c>
      <c r="J110" s="343">
        <v>9</v>
      </c>
      <c r="K110" s="355" t="str">
        <f>IF(J110=21,"",INDEX($AM$7:$AN$27,J110,2))</f>
        <v>Team 9</v>
      </c>
      <c r="L110" s="343">
        <v>1</v>
      </c>
      <c r="M110" s="355" t="str">
        <f>IF(L110=21,"",INDEX($AM$7:$AN$27,L110,2))</f>
        <v>Team 1</v>
      </c>
      <c r="N110" s="357"/>
      <c r="O110" s="358" t="s">
        <v>0</v>
      </c>
      <c r="P110" s="357"/>
      <c r="Q110" s="357"/>
      <c r="R110" s="358" t="s">
        <v>0</v>
      </c>
      <c r="S110" s="357"/>
      <c r="T110" s="357"/>
      <c r="U110" s="358" t="s">
        <v>0</v>
      </c>
      <c r="V110" s="357"/>
      <c r="W110" s="359"/>
      <c r="X110" s="359" t="str">
        <f>IF(N110+P110&gt;0,IF(AB110&gt;0,IF(AB110&gt;AD110,2,IF(AB110&lt;AD110,0,1)),0),"")</f>
        <v/>
      </c>
      <c r="Y110" s="358" t="s">
        <v>0</v>
      </c>
      <c r="Z110" s="359" t="str">
        <f>IF(N110+P110&gt;0,IF(AD110&gt;0,IF(AD110&gt;AB110,2,IF(AD110&lt;AB110,0,1)),0),"")</f>
        <v/>
      </c>
      <c r="AA110" s="359"/>
      <c r="AB110" s="359" t="str">
        <f>IF(N110+P110&gt;0,IF(N110&gt;P110,1,0)+IF(Q110&gt;S110,1,0)+IF(T110&gt;V110,1,0),"")</f>
        <v/>
      </c>
      <c r="AC110" s="358" t="s">
        <v>0</v>
      </c>
      <c r="AD110" s="359" t="str">
        <f>IF(N110+P110&gt;0,IF(N110&lt;P110,1,0)+IF(Q110&lt;S110,1,0)+IF(T110&lt;V110,1,0),"")</f>
        <v/>
      </c>
      <c r="AE110" s="360"/>
      <c r="AF110" s="359" t="str">
        <f>IF(N110+P110&gt;0,N110+Q110+T110,"")</f>
        <v/>
      </c>
      <c r="AG110" s="358" t="s">
        <v>0</v>
      </c>
      <c r="AH110" s="359" t="str">
        <f>IF(N110+P110&gt;0,P110+S110+V110,"")</f>
        <v/>
      </c>
      <c r="AJ110" s="4" t="str">
        <f t="shared" si="48"/>
        <v>Ort</v>
      </c>
      <c r="AQ110" s="4" t="s">
        <v>134</v>
      </c>
      <c r="AR110" s="4" t="str">
        <f>Platzierung!T27</f>
        <v>Team 7</v>
      </c>
    </row>
    <row r="111" spans="1:73" ht="15.75">
      <c r="A111" s="3">
        <f t="shared" si="45"/>
        <v>34</v>
      </c>
      <c r="B111" s="349" t="str">
        <f t="shared" si="46"/>
        <v>00.00.2018</v>
      </c>
      <c r="C111" s="40" t="s">
        <v>75</v>
      </c>
      <c r="D111" s="41">
        <v>4</v>
      </c>
      <c r="E111" s="3">
        <v>1</v>
      </c>
      <c r="F111" s="3">
        <f>IF(H111&lt;21,COUNTIF(H$6:H111,"&lt;21"),"")</f>
        <v>34</v>
      </c>
      <c r="G111" s="7" t="str">
        <f t="shared" si="47"/>
        <v>Team 1</v>
      </c>
      <c r="H111" s="343">
        <v>1</v>
      </c>
      <c r="I111" s="29" t="s">
        <v>16</v>
      </c>
      <c r="J111" s="343">
        <v>6</v>
      </c>
      <c r="K111" s="7" t="str">
        <f t="shared" si="37"/>
        <v>Team 6</v>
      </c>
      <c r="L111" s="343">
        <v>9</v>
      </c>
      <c r="M111" s="7" t="str">
        <f t="shared" si="38"/>
        <v>Team 9</v>
      </c>
      <c r="N111" s="38"/>
      <c r="O111" s="39" t="s">
        <v>0</v>
      </c>
      <c r="P111" s="38"/>
      <c r="Q111" s="38"/>
      <c r="R111" s="39" t="s">
        <v>0</v>
      </c>
      <c r="S111" s="38"/>
      <c r="T111" s="38"/>
      <c r="U111" s="39" t="s">
        <v>0</v>
      </c>
      <c r="V111" s="38"/>
      <c r="W111" s="37"/>
      <c r="X111" s="37" t="str">
        <f t="shared" si="39"/>
        <v/>
      </c>
      <c r="Y111" s="39" t="s">
        <v>0</v>
      </c>
      <c r="Z111" s="37" t="str">
        <f t="shared" si="40"/>
        <v/>
      </c>
      <c r="AA111" s="37"/>
      <c r="AB111" s="37" t="str">
        <f t="shared" si="41"/>
        <v/>
      </c>
      <c r="AC111" s="39" t="s">
        <v>0</v>
      </c>
      <c r="AD111" s="37" t="str">
        <f t="shared" si="42"/>
        <v/>
      </c>
      <c r="AE111" s="56"/>
      <c r="AF111" s="37" t="str">
        <f t="shared" si="43"/>
        <v/>
      </c>
      <c r="AG111" s="39" t="s">
        <v>0</v>
      </c>
      <c r="AH111" s="37" t="str">
        <f t="shared" si="44"/>
        <v/>
      </c>
      <c r="AJ111" s="4" t="str">
        <f t="shared" si="48"/>
        <v>Ort</v>
      </c>
    </row>
    <row r="112" spans="1:73" ht="15.75">
      <c r="A112" s="3">
        <f>F112</f>
        <v>35</v>
      </c>
      <c r="B112" s="349" t="str">
        <f t="shared" si="46"/>
        <v>00.00.2018</v>
      </c>
      <c r="C112" s="352" t="s">
        <v>75</v>
      </c>
      <c r="D112" s="353">
        <v>5</v>
      </c>
      <c r="E112" s="354">
        <v>1</v>
      </c>
      <c r="F112" s="354">
        <f>IF(H112&lt;21,COUNTIF(H$6:H112,"&lt;21"),"")</f>
        <v>35</v>
      </c>
      <c r="G112" s="355" t="str">
        <f>IF(H112=21,"",INDEX($AM$7:$AN$27,H112,2))</f>
        <v>Team 9</v>
      </c>
      <c r="H112" s="356">
        <v>9</v>
      </c>
      <c r="I112" s="379" t="s">
        <v>16</v>
      </c>
      <c r="J112" s="356">
        <v>2</v>
      </c>
      <c r="K112" s="355" t="str">
        <f>IF(J112=21,"",INDEX($AM$7:$AN$27,J112,2))</f>
        <v>Team 2</v>
      </c>
      <c r="L112" s="356">
        <v>5</v>
      </c>
      <c r="M112" s="355" t="str">
        <f>IF(L112=21,"",INDEX($AM$7:$AN$27,L112,2))</f>
        <v>Team 5</v>
      </c>
      <c r="N112" s="357"/>
      <c r="O112" s="358" t="s">
        <v>0</v>
      </c>
      <c r="P112" s="357"/>
      <c r="Q112" s="357"/>
      <c r="R112" s="358" t="s">
        <v>0</v>
      </c>
      <c r="S112" s="357"/>
      <c r="T112" s="357"/>
      <c r="U112" s="358" t="s">
        <v>0</v>
      </c>
      <c r="V112" s="357"/>
      <c r="W112" s="359"/>
      <c r="X112" s="359" t="str">
        <f>IF(N112+P112&gt;0,IF(AB112&gt;0,IF(AB112&gt;AD112,2,IF(AB112&lt;AD112,0,1)),0),"")</f>
        <v/>
      </c>
      <c r="Y112" s="358" t="s">
        <v>0</v>
      </c>
      <c r="Z112" s="359" t="str">
        <f>IF(N112+P112&gt;0,IF(AD112&gt;0,IF(AD112&gt;AB112,2,IF(AD112&lt;AB112,0,1)),0),"")</f>
        <v/>
      </c>
      <c r="AA112" s="359"/>
      <c r="AB112" s="359" t="str">
        <f>IF(N112+P112&gt;0,IF(N112&gt;P112,1,0)+IF(Q112&gt;S112,1,0)+IF(T112&gt;V112,1,0),"")</f>
        <v/>
      </c>
      <c r="AC112" s="358" t="s">
        <v>0</v>
      </c>
      <c r="AD112" s="359" t="str">
        <f>IF(N112+P112&gt;0,IF(N112&lt;P112,1,0)+IF(Q112&lt;S112,1,0)+IF(T112&lt;V112,1,0),"")</f>
        <v/>
      </c>
      <c r="AE112" s="360"/>
      <c r="AF112" s="359" t="str">
        <f>IF(N112+P112&gt;0,N112+Q112+T112,"")</f>
        <v/>
      </c>
      <c r="AG112" s="358" t="s">
        <v>0</v>
      </c>
      <c r="AH112" s="359" t="str">
        <f>IF(N112+P112&gt;0,P112+S112+V112,"")</f>
        <v/>
      </c>
      <c r="AJ112" s="4" t="str">
        <f t="shared" si="48"/>
        <v>Ort</v>
      </c>
    </row>
    <row r="113" spans="1:40" ht="15.75">
      <c r="A113" s="3">
        <f>F113</f>
        <v>36</v>
      </c>
      <c r="B113" s="349" t="str">
        <f t="shared" si="46"/>
        <v>00.00.2018</v>
      </c>
      <c r="C113" s="40" t="s">
        <v>75</v>
      </c>
      <c r="D113" s="41">
        <v>6</v>
      </c>
      <c r="E113" s="3">
        <v>1</v>
      </c>
      <c r="F113" s="3">
        <f>IF(H113&lt;21,COUNTIF(H$6:H113,"&lt;21"),"")</f>
        <v>36</v>
      </c>
      <c r="G113" s="7" t="str">
        <f>IF(H113=21,"",INDEX($AM$7:$AN$27,H113,2))</f>
        <v>Team 5</v>
      </c>
      <c r="H113" s="343">
        <v>5</v>
      </c>
      <c r="I113" s="29" t="s">
        <v>16</v>
      </c>
      <c r="J113" s="343">
        <v>1</v>
      </c>
      <c r="K113" s="7" t="str">
        <f>IF(J113=21,"",INDEX($AM$7:$AN$27,J113,2))</f>
        <v>Team 1</v>
      </c>
      <c r="L113" s="343">
        <v>6</v>
      </c>
      <c r="M113" s="7" t="str">
        <f>IF(L113=21,"",INDEX($AM$7:$AN$27,L113,2))</f>
        <v>Team 6</v>
      </c>
      <c r="N113" s="38"/>
      <c r="O113" s="39" t="s">
        <v>0</v>
      </c>
      <c r="P113" s="38"/>
      <c r="Q113" s="38"/>
      <c r="R113" s="39" t="s">
        <v>0</v>
      </c>
      <c r="S113" s="38"/>
      <c r="T113" s="38"/>
      <c r="U113" s="39" t="s">
        <v>0</v>
      </c>
      <c r="V113" s="38"/>
      <c r="W113" s="37"/>
      <c r="X113" s="37" t="str">
        <f>IF(N113+P113&gt;0,IF(AB113&gt;0,IF(AB113&gt;AD113,2,IF(AB113&lt;AD113,0,1)),0),"")</f>
        <v/>
      </c>
      <c r="Y113" s="39" t="s">
        <v>0</v>
      </c>
      <c r="Z113" s="37" t="str">
        <f>IF(N113+P113&gt;0,IF(AD113&gt;0,IF(AD113&gt;AB113,2,IF(AD113&lt;AB113,0,1)),0),"")</f>
        <v/>
      </c>
      <c r="AA113" s="37"/>
      <c r="AB113" s="37" t="str">
        <f>IF(N113+P113&gt;0,IF(N113&gt;P113,1,0)+IF(Q113&gt;S113,1,0)+IF(T113&gt;V113,1,0),"")</f>
        <v/>
      </c>
      <c r="AC113" s="39" t="s">
        <v>0</v>
      </c>
      <c r="AD113" s="37" t="str">
        <f>IF(N113+P113&gt;0,IF(N113&lt;P113,1,0)+IF(Q113&lt;S113,1,0)+IF(T113&lt;V113,1,0),"")</f>
        <v/>
      </c>
      <c r="AE113" s="56"/>
      <c r="AF113" s="37" t="str">
        <f>IF(N113+P113&gt;0,N113+Q113+T113,"")</f>
        <v/>
      </c>
      <c r="AG113" s="39" t="s">
        <v>0</v>
      </c>
      <c r="AH113" s="37" t="str">
        <f>IF(N113+P113&gt;0,P113+S113+V113,"")</f>
        <v/>
      </c>
      <c r="AJ113" s="4" t="str">
        <f t="shared" si="48"/>
        <v>Ort</v>
      </c>
    </row>
    <row r="114" spans="1:40" ht="15.75">
      <c r="A114" s="3">
        <f t="shared" si="45"/>
        <v>37</v>
      </c>
      <c r="B114" s="349" t="str">
        <f t="shared" si="46"/>
        <v>00.00.2018</v>
      </c>
      <c r="C114" s="352" t="s">
        <v>75</v>
      </c>
      <c r="D114" s="353">
        <v>7</v>
      </c>
      <c r="E114" s="354">
        <v>1</v>
      </c>
      <c r="F114" s="354">
        <f>IF(H114&lt;21,COUNTIF(H$6:H114,"&lt;21"),"")</f>
        <v>37</v>
      </c>
      <c r="G114" s="355" t="str">
        <f t="shared" si="47"/>
        <v>Team 8</v>
      </c>
      <c r="H114" s="356">
        <v>8</v>
      </c>
      <c r="I114" s="379" t="s">
        <v>16</v>
      </c>
      <c r="J114" s="356">
        <v>5</v>
      </c>
      <c r="K114" s="355" t="str">
        <f t="shared" si="37"/>
        <v>Team 5</v>
      </c>
      <c r="L114" s="356">
        <v>2</v>
      </c>
      <c r="M114" s="355" t="str">
        <f t="shared" si="38"/>
        <v>Team 2</v>
      </c>
      <c r="N114" s="357"/>
      <c r="O114" s="358" t="s">
        <v>0</v>
      </c>
      <c r="P114" s="357"/>
      <c r="Q114" s="357"/>
      <c r="R114" s="358" t="s">
        <v>0</v>
      </c>
      <c r="S114" s="357"/>
      <c r="T114" s="357"/>
      <c r="U114" s="358" t="s">
        <v>0</v>
      </c>
      <c r="V114" s="357"/>
      <c r="W114" s="359"/>
      <c r="X114" s="359" t="str">
        <f t="shared" si="39"/>
        <v/>
      </c>
      <c r="Y114" s="358" t="s">
        <v>0</v>
      </c>
      <c r="Z114" s="359" t="str">
        <f t="shared" si="40"/>
        <v/>
      </c>
      <c r="AA114" s="359"/>
      <c r="AB114" s="359" t="str">
        <f t="shared" si="41"/>
        <v/>
      </c>
      <c r="AC114" s="358" t="s">
        <v>0</v>
      </c>
      <c r="AD114" s="359" t="str">
        <f t="shared" si="42"/>
        <v/>
      </c>
      <c r="AE114" s="360"/>
      <c r="AF114" s="359" t="str">
        <f t="shared" si="43"/>
        <v/>
      </c>
      <c r="AG114" s="358" t="s">
        <v>0</v>
      </c>
      <c r="AH114" s="359" t="str">
        <f t="shared" si="44"/>
        <v/>
      </c>
      <c r="AJ114" s="4" t="str">
        <f t="shared" si="48"/>
        <v>Ort</v>
      </c>
    </row>
    <row r="115" spans="1:40" ht="15.75">
      <c r="A115" s="3">
        <f t="shared" si="45"/>
        <v>38</v>
      </c>
      <c r="B115" s="349" t="str">
        <f t="shared" si="46"/>
        <v>00.00.2018</v>
      </c>
      <c r="C115" s="40" t="s">
        <v>75</v>
      </c>
      <c r="D115" s="41">
        <v>8</v>
      </c>
      <c r="E115" s="3">
        <v>1</v>
      </c>
      <c r="F115" s="3">
        <f>IF(H115&lt;21,COUNTIF(H$6:H115,"&lt;21"),"")</f>
        <v>38</v>
      </c>
      <c r="G115" s="7" t="str">
        <f t="shared" si="47"/>
        <v>Team 2</v>
      </c>
      <c r="H115" s="343">
        <v>2</v>
      </c>
      <c r="I115" s="29" t="s">
        <v>16</v>
      </c>
      <c r="J115" s="343">
        <v>6</v>
      </c>
      <c r="K115" s="7" t="str">
        <f t="shared" si="37"/>
        <v>Team 6</v>
      </c>
      <c r="L115" s="343">
        <v>8</v>
      </c>
      <c r="M115" s="7" t="str">
        <f t="shared" si="38"/>
        <v>Team 8</v>
      </c>
      <c r="N115" s="38"/>
      <c r="O115" s="39" t="s">
        <v>0</v>
      </c>
      <c r="P115" s="38"/>
      <c r="Q115" s="38"/>
      <c r="R115" s="39" t="s">
        <v>0</v>
      </c>
      <c r="S115" s="38"/>
      <c r="T115" s="38"/>
      <c r="U115" s="39" t="s">
        <v>0</v>
      </c>
      <c r="V115" s="38"/>
      <c r="W115" s="37"/>
      <c r="X115" s="37" t="str">
        <f t="shared" si="39"/>
        <v/>
      </c>
      <c r="Y115" s="39" t="s">
        <v>0</v>
      </c>
      <c r="Z115" s="37" t="str">
        <f t="shared" si="40"/>
        <v/>
      </c>
      <c r="AA115" s="37"/>
      <c r="AB115" s="37" t="str">
        <f t="shared" si="41"/>
        <v/>
      </c>
      <c r="AC115" s="39" t="s">
        <v>0</v>
      </c>
      <c r="AD115" s="37" t="str">
        <f t="shared" si="42"/>
        <v/>
      </c>
      <c r="AE115" s="56"/>
      <c r="AF115" s="37" t="str">
        <f t="shared" si="43"/>
        <v/>
      </c>
      <c r="AG115" s="39" t="s">
        <v>0</v>
      </c>
      <c r="AH115" s="37" t="str">
        <f t="shared" si="44"/>
        <v/>
      </c>
      <c r="AJ115" s="4" t="str">
        <f t="shared" si="48"/>
        <v>Ort</v>
      </c>
    </row>
    <row r="116" spans="1:40" ht="15.75">
      <c r="A116" s="3">
        <f>F116</f>
        <v>39</v>
      </c>
      <c r="B116" s="349" t="str">
        <f t="shared" si="46"/>
        <v>00.00.2018</v>
      </c>
      <c r="C116" s="352" t="s">
        <v>75</v>
      </c>
      <c r="D116" s="353">
        <v>9</v>
      </c>
      <c r="E116" s="354">
        <v>1</v>
      </c>
      <c r="F116" s="354">
        <f>IF(H116&lt;21,COUNTIF(H$6:H116,"&lt;21"),"")</f>
        <v>39</v>
      </c>
      <c r="G116" s="355" t="str">
        <f>IF(H116=21,"",INDEX($AM$7:$AN$27,H116,2))</f>
        <v>Team 8</v>
      </c>
      <c r="H116" s="356">
        <v>8</v>
      </c>
      <c r="I116" s="379" t="s">
        <v>16</v>
      </c>
      <c r="J116" s="356">
        <v>6</v>
      </c>
      <c r="K116" s="355" t="str">
        <f>IF(J116=21,"",INDEX($AM$7:$AN$27,J116,2))</f>
        <v>Team 6</v>
      </c>
      <c r="L116" s="356">
        <v>2</v>
      </c>
      <c r="M116" s="355" t="str">
        <f>IF(L116=21,"",INDEX($AM$7:$AN$27,L116,2))</f>
        <v>Team 2</v>
      </c>
      <c r="N116" s="357"/>
      <c r="O116" s="358" t="s">
        <v>0</v>
      </c>
      <c r="P116" s="357"/>
      <c r="Q116" s="357"/>
      <c r="R116" s="358" t="s">
        <v>0</v>
      </c>
      <c r="S116" s="357"/>
      <c r="T116" s="357"/>
      <c r="U116" s="358" t="s">
        <v>0</v>
      </c>
      <c r="V116" s="357"/>
      <c r="W116" s="359"/>
      <c r="X116" s="359" t="str">
        <f>IF(N116+P116&gt;0,IF(AB116&gt;0,IF(AB116&gt;AD116,2,IF(AB116&lt;AD116,0,1)),0),"")</f>
        <v/>
      </c>
      <c r="Y116" s="358" t="s">
        <v>0</v>
      </c>
      <c r="Z116" s="359" t="str">
        <f>IF(N116+P116&gt;0,IF(AD116&gt;0,IF(AD116&gt;AB116,2,IF(AD116&lt;AB116,0,1)),0),"")</f>
        <v/>
      </c>
      <c r="AA116" s="359"/>
      <c r="AB116" s="359" t="str">
        <f>IF(N116+P116&gt;0,IF(N116&gt;P116,1,0)+IF(Q116&gt;S116,1,0)+IF(T116&gt;V116,1,0),"")</f>
        <v/>
      </c>
      <c r="AC116" s="358" t="s">
        <v>0</v>
      </c>
      <c r="AD116" s="359" t="str">
        <f>IF(N116+P116&gt;0,IF(N116&lt;P116,1,0)+IF(Q116&lt;S116,1,0)+IF(T116&lt;V116,1,0),"")</f>
        <v/>
      </c>
      <c r="AE116" s="360"/>
      <c r="AF116" s="359" t="str">
        <f>IF(N116+P116&gt;0,N116+Q116+T116,"")</f>
        <v/>
      </c>
      <c r="AG116" s="358" t="s">
        <v>0</v>
      </c>
      <c r="AH116" s="359" t="str">
        <f>IF(N116+P116&gt;0,P116+S116+V116,"")</f>
        <v/>
      </c>
      <c r="AJ116" s="4" t="str">
        <f t="shared" si="48"/>
        <v>Ort</v>
      </c>
    </row>
    <row r="117" spans="1:40" s="30" customFormat="1" ht="15.75">
      <c r="A117" s="3">
        <f>F117</f>
        <v>40</v>
      </c>
      <c r="B117" s="349" t="str">
        <f t="shared" si="46"/>
        <v>00.00.2018</v>
      </c>
      <c r="C117" s="40" t="s">
        <v>75</v>
      </c>
      <c r="D117" s="41">
        <v>10</v>
      </c>
      <c r="E117" s="3">
        <v>1</v>
      </c>
      <c r="F117" s="3">
        <f>IF(H117&lt;21,COUNTIF(H$6:H117,"&lt;21"),"")</f>
        <v>40</v>
      </c>
      <c r="G117" s="7" t="str">
        <f>IF(H117=21,"",INDEX($AM$7:$AN$27,H117,2))</f>
        <v>Team 2</v>
      </c>
      <c r="H117" s="343">
        <v>2</v>
      </c>
      <c r="I117" s="29" t="s">
        <v>16</v>
      </c>
      <c r="J117" s="343">
        <v>8</v>
      </c>
      <c r="K117" s="7" t="str">
        <f>IF(J117=21,"",INDEX($AM$7:$AN$27,J117,2))</f>
        <v>Team 8</v>
      </c>
      <c r="L117" s="343">
        <v>6</v>
      </c>
      <c r="M117" s="7" t="str">
        <f>IF(L117=21,"",INDEX($AM$7:$AN$27,L117,2))</f>
        <v>Team 6</v>
      </c>
      <c r="N117" s="38"/>
      <c r="O117" s="39" t="s">
        <v>0</v>
      </c>
      <c r="P117" s="38"/>
      <c r="Q117" s="38"/>
      <c r="R117" s="39" t="s">
        <v>0</v>
      </c>
      <c r="S117" s="38"/>
      <c r="T117" s="38"/>
      <c r="U117" s="39" t="s">
        <v>0</v>
      </c>
      <c r="V117" s="38"/>
      <c r="W117" s="37"/>
      <c r="X117" s="37" t="str">
        <f>IF(N117+P117&gt;0,IF(AB117&gt;0,IF(AB117&gt;AD117,2,IF(AB117&lt;AD117,0,1)),0),"")</f>
        <v/>
      </c>
      <c r="Y117" s="39" t="s">
        <v>0</v>
      </c>
      <c r="Z117" s="37" t="str">
        <f>IF(N117+P117&gt;0,IF(AD117&gt;0,IF(AD117&gt;AB117,2,IF(AD117&lt;AB117,0,1)),0),"")</f>
        <v/>
      </c>
      <c r="AA117" s="37"/>
      <c r="AB117" s="37" t="str">
        <f>IF(N117+P117&gt;0,IF(N117&gt;P117,1,0)+IF(Q117&gt;S117,1,0)+IF(T117&gt;V117,1,0),"")</f>
        <v/>
      </c>
      <c r="AC117" s="39" t="s">
        <v>0</v>
      </c>
      <c r="AD117" s="37" t="str">
        <f>IF(N117+P117&gt;0,IF(N117&lt;P117,1,0)+IF(Q117&lt;S117,1,0)+IF(T117&lt;V117,1,0),"")</f>
        <v/>
      </c>
      <c r="AE117" s="56"/>
      <c r="AF117" s="37" t="str">
        <f>IF(N117+P117&gt;0,N117+Q117+T117,"")</f>
        <v/>
      </c>
      <c r="AG117" s="39" t="s">
        <v>0</v>
      </c>
      <c r="AH117" s="37" t="str">
        <f>IF(N117+P117&gt;0,P117+S117+V117,"")</f>
        <v/>
      </c>
      <c r="AJ117" s="4" t="str">
        <f t="shared" si="48"/>
        <v>Ort</v>
      </c>
      <c r="AM117" s="4"/>
      <c r="AN117" s="4"/>
    </row>
    <row r="118" spans="1:40" ht="15.75" hidden="1">
      <c r="A118" s="3" t="str">
        <f>F118</f>
        <v/>
      </c>
      <c r="B118" s="349" t="str">
        <f t="shared" si="46"/>
        <v>00.00.2018</v>
      </c>
      <c r="C118" s="352" t="s">
        <v>75</v>
      </c>
      <c r="D118" s="353">
        <v>11</v>
      </c>
      <c r="E118" s="354">
        <v>1</v>
      </c>
      <c r="F118" s="354" t="str">
        <f>IF(H118&lt;21,COUNTIF(H$6:H118,"&lt;21"),"")</f>
        <v/>
      </c>
      <c r="G118" s="7" t="str">
        <f>IF(H118=21,"",INDEX($AM$7:$AN$27,H118,2))</f>
        <v/>
      </c>
      <c r="H118" s="361">
        <v>21</v>
      </c>
      <c r="I118" s="29" t="s">
        <v>16</v>
      </c>
      <c r="J118" s="361">
        <v>21</v>
      </c>
      <c r="K118" s="7" t="str">
        <f>IF(J118=21,"",INDEX($AM$7:$AN$27,J118,2))</f>
        <v/>
      </c>
      <c r="L118" s="361">
        <v>21</v>
      </c>
      <c r="M118" s="355" t="str">
        <f>IF(L118=21,"",INDEX($AM$7:$AN$27,L118,2))</f>
        <v/>
      </c>
      <c r="N118" s="357"/>
      <c r="O118" s="358" t="s">
        <v>0</v>
      </c>
      <c r="P118" s="357"/>
      <c r="Q118" s="357"/>
      <c r="R118" s="358" t="s">
        <v>0</v>
      </c>
      <c r="S118" s="357"/>
      <c r="T118" s="357"/>
      <c r="U118" s="358" t="s">
        <v>0</v>
      </c>
      <c r="V118" s="357"/>
      <c r="W118" s="359"/>
      <c r="X118" s="359" t="str">
        <f>IF(N118+P118&gt;0,IF(AB118&gt;0,IF(AB118&gt;AD118,2,IF(AB118&lt;AD118,0,1)),0),"")</f>
        <v/>
      </c>
      <c r="Y118" s="358" t="s">
        <v>0</v>
      </c>
      <c r="Z118" s="359" t="str">
        <f>IF(N118+P118&gt;0,IF(AD118&gt;0,IF(AD118&gt;AB118,2,IF(AD118&lt;AB118,0,1)),0),"")</f>
        <v/>
      </c>
      <c r="AA118" s="359"/>
      <c r="AB118" s="359" t="str">
        <f>IF(N118+P118&gt;0,IF(N118&gt;P118,1,0)+IF(Q118&gt;S118,1,0)+IF(T118&gt;V118,1,0),"")</f>
        <v/>
      </c>
      <c r="AC118" s="358" t="s">
        <v>0</v>
      </c>
      <c r="AD118" s="359" t="str">
        <f>IF(N118+P118&gt;0,IF(N118&lt;P118,1,0)+IF(Q118&lt;S118,1,0)+IF(T118&lt;V118,1,0),"")</f>
        <v/>
      </c>
      <c r="AE118" s="360"/>
      <c r="AF118" s="359" t="str">
        <f>IF(N118+P118&gt;0,N118+Q118+T118,"")</f>
        <v/>
      </c>
      <c r="AG118" s="358" t="s">
        <v>0</v>
      </c>
      <c r="AH118" s="359" t="str">
        <f>IF(N118+P118&gt;0,P118+S118+V118,"")</f>
        <v/>
      </c>
      <c r="AJ118" s="4" t="str">
        <f t="shared" si="48"/>
        <v>Ort</v>
      </c>
    </row>
    <row r="119" spans="1:40" ht="15.75" hidden="1">
      <c r="A119" s="3" t="str">
        <f t="shared" si="45"/>
        <v/>
      </c>
      <c r="B119" s="349" t="str">
        <f t="shared" si="46"/>
        <v>00.00.2018</v>
      </c>
      <c r="C119" s="40" t="s">
        <v>75</v>
      </c>
      <c r="D119" s="41">
        <v>12</v>
      </c>
      <c r="E119" s="3">
        <v>1</v>
      </c>
      <c r="F119" s="354" t="str">
        <f>IF(H119&lt;21,COUNTIF(H$6:H119,"&lt;21"),"")</f>
        <v/>
      </c>
      <c r="G119" s="7" t="str">
        <f t="shared" si="47"/>
        <v/>
      </c>
      <c r="H119" s="348">
        <v>21</v>
      </c>
      <c r="I119" s="29" t="s">
        <v>16</v>
      </c>
      <c r="J119" s="348">
        <v>21</v>
      </c>
      <c r="K119" s="7" t="str">
        <f t="shared" si="37"/>
        <v/>
      </c>
      <c r="L119" s="348">
        <v>21</v>
      </c>
      <c r="M119" s="7" t="str">
        <f t="shared" si="38"/>
        <v/>
      </c>
      <c r="N119" s="38"/>
      <c r="O119" s="39" t="s">
        <v>0</v>
      </c>
      <c r="P119" s="38"/>
      <c r="Q119" s="38"/>
      <c r="R119" s="39" t="s">
        <v>0</v>
      </c>
      <c r="S119" s="38"/>
      <c r="T119" s="38"/>
      <c r="U119" s="39" t="s">
        <v>0</v>
      </c>
      <c r="V119" s="38"/>
      <c r="W119" s="37"/>
      <c r="X119" s="37" t="str">
        <f t="shared" si="39"/>
        <v/>
      </c>
      <c r="Y119" s="39" t="s">
        <v>0</v>
      </c>
      <c r="Z119" s="37" t="str">
        <f t="shared" si="40"/>
        <v/>
      </c>
      <c r="AA119" s="37"/>
      <c r="AB119" s="37" t="str">
        <f t="shared" si="41"/>
        <v/>
      </c>
      <c r="AC119" s="39" t="s">
        <v>0</v>
      </c>
      <c r="AD119" s="37" t="str">
        <f t="shared" si="42"/>
        <v/>
      </c>
      <c r="AE119" s="56"/>
      <c r="AF119" s="37" t="str">
        <f t="shared" si="43"/>
        <v/>
      </c>
      <c r="AG119" s="39" t="s">
        <v>0</v>
      </c>
      <c r="AH119" s="37" t="str">
        <f t="shared" si="44"/>
        <v/>
      </c>
      <c r="AJ119" s="4" t="str">
        <f t="shared" si="48"/>
        <v>Ort</v>
      </c>
    </row>
    <row r="120" spans="1:40" ht="15.75" hidden="1">
      <c r="A120" s="3" t="str">
        <f t="shared" si="45"/>
        <v/>
      </c>
      <c r="B120" s="349" t="str">
        <f t="shared" si="46"/>
        <v>00.00.2018</v>
      </c>
      <c r="C120" s="40" t="s">
        <v>75</v>
      </c>
      <c r="D120" s="41">
        <v>13</v>
      </c>
      <c r="E120" s="3">
        <v>1</v>
      </c>
      <c r="F120" s="354" t="str">
        <f>IF(H120&lt;21,COUNTIF(H$6:H120,"&lt;21"),"")</f>
        <v/>
      </c>
      <c r="G120" s="7" t="str">
        <f t="shared" si="47"/>
        <v/>
      </c>
      <c r="H120" s="361">
        <v>21</v>
      </c>
      <c r="I120" s="29" t="s">
        <v>26</v>
      </c>
      <c r="J120" s="361">
        <v>21</v>
      </c>
      <c r="K120" s="7" t="str">
        <f t="shared" si="37"/>
        <v/>
      </c>
      <c r="L120" s="361">
        <v>21</v>
      </c>
      <c r="M120" s="7" t="str">
        <f t="shared" si="38"/>
        <v/>
      </c>
      <c r="N120" s="38"/>
      <c r="O120" s="39" t="s">
        <v>0</v>
      </c>
      <c r="P120" s="38"/>
      <c r="Q120" s="38"/>
      <c r="R120" s="39" t="s">
        <v>0</v>
      </c>
      <c r="S120" s="38"/>
      <c r="T120" s="38"/>
      <c r="U120" s="39" t="s">
        <v>0</v>
      </c>
      <c r="V120" s="38"/>
      <c r="W120" s="37"/>
      <c r="X120" s="37" t="str">
        <f t="shared" si="39"/>
        <v/>
      </c>
      <c r="Y120" s="39" t="s">
        <v>0</v>
      </c>
      <c r="Z120" s="37" t="str">
        <f t="shared" si="40"/>
        <v/>
      </c>
      <c r="AA120" s="37"/>
      <c r="AB120" s="37" t="str">
        <f t="shared" si="41"/>
        <v/>
      </c>
      <c r="AC120" s="39" t="s">
        <v>0</v>
      </c>
      <c r="AD120" s="37" t="str">
        <f t="shared" si="42"/>
        <v/>
      </c>
      <c r="AE120" s="56"/>
      <c r="AF120" s="37" t="str">
        <f t="shared" si="43"/>
        <v/>
      </c>
      <c r="AG120" s="39" t="s">
        <v>0</v>
      </c>
      <c r="AH120" s="37" t="str">
        <f t="shared" si="44"/>
        <v/>
      </c>
      <c r="AJ120" s="4" t="str">
        <f t="shared" si="48"/>
        <v>Ort</v>
      </c>
    </row>
    <row r="121" spans="1:40" ht="15.75" hidden="1">
      <c r="A121" s="3" t="str">
        <f>F121</f>
        <v/>
      </c>
      <c r="B121" s="349" t="str">
        <f t="shared" si="46"/>
        <v>00.00.2018</v>
      </c>
      <c r="C121" s="40" t="s">
        <v>75</v>
      </c>
      <c r="D121" s="41">
        <v>14</v>
      </c>
      <c r="E121" s="3">
        <v>1</v>
      </c>
      <c r="F121" s="354" t="str">
        <f>IF(H121&lt;21,COUNTIF(H$6:H121,"&lt;21"),"")</f>
        <v/>
      </c>
      <c r="G121" s="7" t="str">
        <f>IF(H121=21,"",INDEX($AM$7:$AN$27,H121,2))</f>
        <v/>
      </c>
      <c r="H121" s="348">
        <v>21</v>
      </c>
      <c r="I121" s="29" t="s">
        <v>16</v>
      </c>
      <c r="J121" s="348">
        <v>21</v>
      </c>
      <c r="K121" s="7" t="str">
        <f>IF(J121=21,"",INDEX($AM$7:$AN$27,J121,2))</f>
        <v/>
      </c>
      <c r="L121" s="348">
        <v>21</v>
      </c>
      <c r="M121" s="7" t="str">
        <f>IF(L121=21,"",INDEX($AM$7:$AN$27,L121,2))</f>
        <v/>
      </c>
      <c r="N121" s="38"/>
      <c r="O121" s="39" t="s">
        <v>0</v>
      </c>
      <c r="P121" s="38"/>
      <c r="Q121" s="38"/>
      <c r="R121" s="39" t="s">
        <v>0</v>
      </c>
      <c r="S121" s="38"/>
      <c r="T121" s="38"/>
      <c r="U121" s="39" t="s">
        <v>0</v>
      </c>
      <c r="V121" s="38"/>
      <c r="W121" s="37"/>
      <c r="X121" s="37" t="str">
        <f>IF(N121+P121&gt;0,IF(AB121&gt;0,IF(AB121&gt;AD121,2,IF(AB121&lt;AD121,0,1)),0),"")</f>
        <v/>
      </c>
      <c r="Y121" s="39" t="s">
        <v>0</v>
      </c>
      <c r="Z121" s="37" t="str">
        <f>IF(N121+P121&gt;0,IF(AD121&gt;0,IF(AD121&gt;AB121,2,IF(AD121&lt;AB121,0,1)),0),"")</f>
        <v/>
      </c>
      <c r="AA121" s="37"/>
      <c r="AB121" s="37" t="str">
        <f>IF(N121+P121&gt;0,IF(N121&gt;P121,1,0)+IF(Q121&gt;S121,1,0)+IF(T121&gt;V121,1,0),"")</f>
        <v/>
      </c>
      <c r="AC121" s="39" t="s">
        <v>0</v>
      </c>
      <c r="AD121" s="37" t="str">
        <f>IF(N121+P121&gt;0,IF(N121&lt;P121,1,0)+IF(Q121&lt;S121,1,0)+IF(T121&lt;V121,1,0),"")</f>
        <v/>
      </c>
      <c r="AE121" s="56"/>
      <c r="AF121" s="37" t="str">
        <f>IF(N121+P121&gt;0,N121+Q121+T121,"")</f>
        <v/>
      </c>
      <c r="AG121" s="39" t="s">
        <v>0</v>
      </c>
      <c r="AH121" s="37" t="str">
        <f>IF(N121+P121&gt;0,P121+S121+V121,"")</f>
        <v/>
      </c>
      <c r="AJ121" s="4" t="str">
        <f t="shared" si="48"/>
        <v>Ort</v>
      </c>
    </row>
    <row r="122" spans="1:40" s="30" customFormat="1" ht="15.75" hidden="1">
      <c r="A122" s="3" t="str">
        <f t="shared" si="45"/>
        <v/>
      </c>
      <c r="B122" s="349" t="str">
        <f t="shared" si="46"/>
        <v>00.00.2018</v>
      </c>
      <c r="C122" s="40" t="s">
        <v>75</v>
      </c>
      <c r="D122" s="41"/>
      <c r="E122" s="3">
        <v>1</v>
      </c>
      <c r="F122" s="354" t="str">
        <f>IF(H122&lt;21,COUNTIF(H$6:H122,"&lt;21"),"")</f>
        <v/>
      </c>
      <c r="G122" s="7" t="str">
        <f t="shared" si="47"/>
        <v/>
      </c>
      <c r="H122" s="348">
        <v>21</v>
      </c>
      <c r="I122" s="29" t="s">
        <v>16</v>
      </c>
      <c r="J122" s="348">
        <v>21</v>
      </c>
      <c r="K122" s="7" t="str">
        <f t="shared" si="37"/>
        <v/>
      </c>
      <c r="L122" s="348">
        <v>21</v>
      </c>
      <c r="M122" s="7" t="str">
        <f t="shared" si="38"/>
        <v/>
      </c>
      <c r="N122" s="38"/>
      <c r="O122" s="39" t="s">
        <v>0</v>
      </c>
      <c r="P122" s="38"/>
      <c r="Q122" s="38"/>
      <c r="R122" s="39" t="s">
        <v>0</v>
      </c>
      <c r="S122" s="38"/>
      <c r="T122" s="38"/>
      <c r="U122" s="39" t="s">
        <v>0</v>
      </c>
      <c r="V122" s="38"/>
      <c r="W122" s="37"/>
      <c r="X122" s="37" t="str">
        <f t="shared" si="39"/>
        <v/>
      </c>
      <c r="Y122" s="39" t="s">
        <v>0</v>
      </c>
      <c r="Z122" s="37" t="str">
        <f t="shared" si="40"/>
        <v/>
      </c>
      <c r="AA122" s="37"/>
      <c r="AB122" s="37" t="str">
        <f t="shared" si="41"/>
        <v/>
      </c>
      <c r="AC122" s="39" t="s">
        <v>0</v>
      </c>
      <c r="AD122" s="37" t="str">
        <f t="shared" si="42"/>
        <v/>
      </c>
      <c r="AE122" s="56"/>
      <c r="AF122" s="37" t="str">
        <f t="shared" si="43"/>
        <v/>
      </c>
      <c r="AG122" s="39" t="s">
        <v>0</v>
      </c>
      <c r="AH122" s="37" t="str">
        <f t="shared" si="44"/>
        <v/>
      </c>
      <c r="AJ122" s="4" t="str">
        <f t="shared" si="48"/>
        <v>Ort</v>
      </c>
    </row>
    <row r="123" spans="1:40" ht="15.75" hidden="1">
      <c r="A123" s="3" t="str">
        <f t="shared" si="45"/>
        <v/>
      </c>
      <c r="B123" s="349" t="str">
        <f t="shared" si="46"/>
        <v>00.00.2018</v>
      </c>
      <c r="C123" s="40" t="s">
        <v>75</v>
      </c>
      <c r="D123" s="41"/>
      <c r="E123" s="3">
        <v>1</v>
      </c>
      <c r="F123" s="354" t="str">
        <f>IF(H123&lt;21,COUNTIF(H$6:H123,"&lt;21"),"")</f>
        <v/>
      </c>
      <c r="G123" s="7" t="str">
        <f t="shared" si="47"/>
        <v/>
      </c>
      <c r="H123" s="348">
        <v>21</v>
      </c>
      <c r="I123" s="29" t="s">
        <v>16</v>
      </c>
      <c r="J123" s="348">
        <v>21</v>
      </c>
      <c r="K123" s="7" t="str">
        <f t="shared" si="37"/>
        <v/>
      </c>
      <c r="L123" s="348">
        <v>21</v>
      </c>
      <c r="M123" s="7" t="str">
        <f t="shared" si="38"/>
        <v/>
      </c>
      <c r="N123" s="38"/>
      <c r="O123" s="39" t="s">
        <v>0</v>
      </c>
      <c r="P123" s="38"/>
      <c r="Q123" s="38"/>
      <c r="R123" s="39" t="s">
        <v>0</v>
      </c>
      <c r="S123" s="38"/>
      <c r="T123" s="38"/>
      <c r="U123" s="39" t="s">
        <v>0</v>
      </c>
      <c r="V123" s="38"/>
      <c r="W123" s="37"/>
      <c r="X123" s="37" t="str">
        <f t="shared" si="39"/>
        <v/>
      </c>
      <c r="Y123" s="39" t="s">
        <v>0</v>
      </c>
      <c r="Z123" s="37" t="str">
        <f t="shared" si="40"/>
        <v/>
      </c>
      <c r="AA123" s="37"/>
      <c r="AB123" s="37" t="str">
        <f t="shared" si="41"/>
        <v/>
      </c>
      <c r="AC123" s="39" t="s">
        <v>0</v>
      </c>
      <c r="AD123" s="37" t="str">
        <f t="shared" si="42"/>
        <v/>
      </c>
      <c r="AE123" s="56"/>
      <c r="AF123" s="37" t="str">
        <f t="shared" si="43"/>
        <v/>
      </c>
      <c r="AG123" s="39" t="s">
        <v>0</v>
      </c>
      <c r="AH123" s="37" t="str">
        <f t="shared" si="44"/>
        <v/>
      </c>
      <c r="AJ123" s="4" t="str">
        <f t="shared" si="48"/>
        <v>Ort</v>
      </c>
      <c r="AM123" s="30"/>
      <c r="AN123" s="30"/>
    </row>
    <row r="124" spans="1:40" ht="15.75" hidden="1">
      <c r="A124" s="3" t="str">
        <f t="shared" si="45"/>
        <v/>
      </c>
      <c r="B124" s="349" t="str">
        <f t="shared" si="46"/>
        <v>00.00.2018</v>
      </c>
      <c r="C124" s="40" t="s">
        <v>75</v>
      </c>
      <c r="D124" s="41"/>
      <c r="E124" s="3">
        <v>1</v>
      </c>
      <c r="F124" s="354" t="str">
        <f>IF(H124&lt;21,COUNTIF(H$6:H124,"&lt;21"),"")</f>
        <v/>
      </c>
      <c r="G124" s="7" t="str">
        <f t="shared" si="47"/>
        <v/>
      </c>
      <c r="H124" s="348">
        <v>21</v>
      </c>
      <c r="I124" s="29" t="s">
        <v>16</v>
      </c>
      <c r="J124" s="348">
        <v>21</v>
      </c>
      <c r="K124" s="7" t="str">
        <f t="shared" si="37"/>
        <v/>
      </c>
      <c r="L124" s="348">
        <v>21</v>
      </c>
      <c r="M124" s="7" t="str">
        <f t="shared" si="38"/>
        <v/>
      </c>
      <c r="N124" s="38"/>
      <c r="O124" s="39" t="s">
        <v>0</v>
      </c>
      <c r="P124" s="38"/>
      <c r="Q124" s="38"/>
      <c r="R124" s="39" t="s">
        <v>0</v>
      </c>
      <c r="S124" s="38"/>
      <c r="T124" s="38"/>
      <c r="U124" s="39" t="s">
        <v>0</v>
      </c>
      <c r="V124" s="38"/>
      <c r="W124" s="37"/>
      <c r="X124" s="37" t="str">
        <f t="shared" si="39"/>
        <v/>
      </c>
      <c r="Y124" s="39" t="s">
        <v>0</v>
      </c>
      <c r="Z124" s="37" t="str">
        <f t="shared" si="40"/>
        <v/>
      </c>
      <c r="AA124" s="37"/>
      <c r="AB124" s="37" t="str">
        <f t="shared" si="41"/>
        <v/>
      </c>
      <c r="AC124" s="39" t="s">
        <v>0</v>
      </c>
      <c r="AD124" s="37" t="str">
        <f t="shared" si="42"/>
        <v/>
      </c>
      <c r="AE124" s="56"/>
      <c r="AF124" s="37" t="str">
        <f t="shared" si="43"/>
        <v/>
      </c>
      <c r="AG124" s="39" t="s">
        <v>0</v>
      </c>
      <c r="AH124" s="37" t="str">
        <f t="shared" si="44"/>
        <v/>
      </c>
      <c r="AJ124" s="4" t="str">
        <f t="shared" si="48"/>
        <v>Ort</v>
      </c>
    </row>
    <row r="125" spans="1:40" ht="15.75" hidden="1">
      <c r="A125" s="3" t="str">
        <f t="shared" si="45"/>
        <v/>
      </c>
      <c r="B125" s="349" t="str">
        <f t="shared" si="46"/>
        <v>00.00.2018</v>
      </c>
      <c r="C125" s="40" t="s">
        <v>75</v>
      </c>
      <c r="D125" s="41"/>
      <c r="E125" s="3">
        <v>1</v>
      </c>
      <c r="F125" s="354" t="str">
        <f>IF(H125&lt;21,COUNTIF(H$6:H125,"&lt;21"),"")</f>
        <v/>
      </c>
      <c r="G125" s="7" t="str">
        <f t="shared" si="47"/>
        <v/>
      </c>
      <c r="H125" s="348">
        <v>21</v>
      </c>
      <c r="I125" s="29" t="s">
        <v>16</v>
      </c>
      <c r="J125" s="348">
        <v>21</v>
      </c>
      <c r="K125" s="7" t="str">
        <f t="shared" si="37"/>
        <v/>
      </c>
      <c r="L125" s="348">
        <v>21</v>
      </c>
      <c r="M125" s="7" t="str">
        <f t="shared" si="38"/>
        <v/>
      </c>
      <c r="N125" s="38"/>
      <c r="O125" s="39" t="s">
        <v>0</v>
      </c>
      <c r="P125" s="38"/>
      <c r="Q125" s="38"/>
      <c r="R125" s="39" t="s">
        <v>0</v>
      </c>
      <c r="S125" s="38"/>
      <c r="T125" s="38"/>
      <c r="U125" s="39" t="s">
        <v>0</v>
      </c>
      <c r="V125" s="38"/>
      <c r="W125" s="37"/>
      <c r="X125" s="37" t="str">
        <f t="shared" si="39"/>
        <v/>
      </c>
      <c r="Y125" s="39" t="s">
        <v>0</v>
      </c>
      <c r="Z125" s="37" t="str">
        <f t="shared" si="40"/>
        <v/>
      </c>
      <c r="AA125" s="37"/>
      <c r="AB125" s="37" t="str">
        <f t="shared" si="41"/>
        <v/>
      </c>
      <c r="AC125" s="39" t="s">
        <v>0</v>
      </c>
      <c r="AD125" s="37" t="str">
        <f t="shared" si="42"/>
        <v/>
      </c>
      <c r="AE125" s="56"/>
      <c r="AF125" s="37" t="str">
        <f t="shared" si="43"/>
        <v/>
      </c>
      <c r="AG125" s="39" t="s">
        <v>0</v>
      </c>
      <c r="AH125" s="37" t="str">
        <f t="shared" si="44"/>
        <v/>
      </c>
      <c r="AJ125" s="4" t="str">
        <f t="shared" si="48"/>
        <v>Ort</v>
      </c>
    </row>
    <row r="126" spans="1:40" ht="15.75" hidden="1">
      <c r="A126" s="3" t="str">
        <f t="shared" si="45"/>
        <v/>
      </c>
      <c r="B126" s="349" t="str">
        <f t="shared" si="46"/>
        <v>00.00.2018</v>
      </c>
      <c r="C126" s="40" t="s">
        <v>75</v>
      </c>
      <c r="D126" s="41"/>
      <c r="E126" s="3">
        <v>1</v>
      </c>
      <c r="F126" s="354" t="str">
        <f>IF(H126&lt;21,COUNTIF(H$6:H126,"&lt;21"),"")</f>
        <v/>
      </c>
      <c r="G126" s="7" t="str">
        <f t="shared" si="47"/>
        <v/>
      </c>
      <c r="H126" s="348">
        <v>21</v>
      </c>
      <c r="I126" s="29" t="s">
        <v>16</v>
      </c>
      <c r="J126" s="348">
        <v>21</v>
      </c>
      <c r="K126" s="7" t="str">
        <f t="shared" si="37"/>
        <v/>
      </c>
      <c r="L126" s="348">
        <v>21</v>
      </c>
      <c r="M126" s="7" t="str">
        <f t="shared" si="38"/>
        <v/>
      </c>
      <c r="N126" s="38"/>
      <c r="O126" s="39" t="s">
        <v>0</v>
      </c>
      <c r="P126" s="38"/>
      <c r="Q126" s="38"/>
      <c r="R126" s="39" t="s">
        <v>0</v>
      </c>
      <c r="S126" s="38"/>
      <c r="T126" s="38"/>
      <c r="U126" s="39" t="s">
        <v>0</v>
      </c>
      <c r="V126" s="38"/>
      <c r="W126" s="37"/>
      <c r="X126" s="37" t="str">
        <f t="shared" si="39"/>
        <v/>
      </c>
      <c r="Y126" s="39" t="s">
        <v>0</v>
      </c>
      <c r="Z126" s="37" t="str">
        <f t="shared" si="40"/>
        <v/>
      </c>
      <c r="AA126" s="37"/>
      <c r="AB126" s="37" t="str">
        <f t="shared" si="41"/>
        <v/>
      </c>
      <c r="AC126" s="39" t="s">
        <v>0</v>
      </c>
      <c r="AD126" s="37" t="str">
        <f t="shared" si="42"/>
        <v/>
      </c>
      <c r="AE126" s="56"/>
      <c r="AF126" s="37" t="str">
        <f t="shared" si="43"/>
        <v/>
      </c>
      <c r="AG126" s="39" t="s">
        <v>0</v>
      </c>
      <c r="AH126" s="37" t="str">
        <f t="shared" si="44"/>
        <v/>
      </c>
      <c r="AJ126" s="4" t="str">
        <f t="shared" si="48"/>
        <v>Ort</v>
      </c>
    </row>
    <row r="127" spans="1:40" ht="15.75" hidden="1">
      <c r="A127" s="3" t="str">
        <f t="shared" si="45"/>
        <v/>
      </c>
      <c r="B127" s="349" t="str">
        <f t="shared" si="46"/>
        <v>00.00.2018</v>
      </c>
      <c r="C127" s="40" t="s">
        <v>75</v>
      </c>
      <c r="D127" s="41"/>
      <c r="E127" s="3">
        <v>1</v>
      </c>
      <c r="F127" s="354" t="str">
        <f>IF(H127&lt;21,COUNTIF(H$6:H127,"&lt;21"),"")</f>
        <v/>
      </c>
      <c r="G127" s="7" t="str">
        <f t="shared" si="47"/>
        <v/>
      </c>
      <c r="H127" s="348">
        <v>21</v>
      </c>
      <c r="I127" s="29" t="s">
        <v>16</v>
      </c>
      <c r="J127" s="348">
        <v>21</v>
      </c>
      <c r="K127" s="7" t="str">
        <f t="shared" si="37"/>
        <v/>
      </c>
      <c r="L127" s="348">
        <v>21</v>
      </c>
      <c r="M127" s="7" t="str">
        <f t="shared" si="38"/>
        <v/>
      </c>
      <c r="N127" s="38"/>
      <c r="O127" s="39" t="s">
        <v>0</v>
      </c>
      <c r="P127" s="38"/>
      <c r="Q127" s="38"/>
      <c r="R127" s="39" t="s">
        <v>0</v>
      </c>
      <c r="S127" s="38"/>
      <c r="T127" s="38"/>
      <c r="U127" s="39" t="s">
        <v>0</v>
      </c>
      <c r="V127" s="38"/>
      <c r="W127" s="37"/>
      <c r="X127" s="37" t="str">
        <f t="shared" si="39"/>
        <v/>
      </c>
      <c r="Y127" s="39" t="s">
        <v>0</v>
      </c>
      <c r="Z127" s="37" t="str">
        <f t="shared" si="40"/>
        <v/>
      </c>
      <c r="AA127" s="37"/>
      <c r="AB127" s="37" t="str">
        <f t="shared" si="41"/>
        <v/>
      </c>
      <c r="AC127" s="39" t="s">
        <v>0</v>
      </c>
      <c r="AD127" s="37" t="str">
        <f t="shared" si="42"/>
        <v/>
      </c>
      <c r="AE127" s="56"/>
      <c r="AF127" s="37" t="str">
        <f t="shared" si="43"/>
        <v/>
      </c>
      <c r="AG127" s="39" t="s">
        <v>0</v>
      </c>
      <c r="AH127" s="37" t="str">
        <f t="shared" si="44"/>
        <v/>
      </c>
      <c r="AJ127" s="4" t="str">
        <f t="shared" si="48"/>
        <v>Ort</v>
      </c>
    </row>
    <row r="128" spans="1:40" ht="15.75" hidden="1">
      <c r="A128" s="3" t="str">
        <f t="shared" si="45"/>
        <v/>
      </c>
      <c r="B128" s="349" t="str">
        <f t="shared" si="46"/>
        <v>00.00.2018</v>
      </c>
      <c r="C128" s="40" t="s">
        <v>75</v>
      </c>
      <c r="D128" s="41"/>
      <c r="E128" s="3">
        <v>1</v>
      </c>
      <c r="F128" s="354" t="str">
        <f>IF(H128&lt;21,COUNTIF(H$6:H128,"&lt;21"),"")</f>
        <v/>
      </c>
      <c r="G128" s="7" t="str">
        <f t="shared" si="47"/>
        <v/>
      </c>
      <c r="H128" s="348">
        <v>21</v>
      </c>
      <c r="I128" s="29" t="s">
        <v>16</v>
      </c>
      <c r="J128" s="348">
        <v>21</v>
      </c>
      <c r="K128" s="7" t="str">
        <f t="shared" si="37"/>
        <v/>
      </c>
      <c r="L128" s="348">
        <v>21</v>
      </c>
      <c r="M128" s="7" t="str">
        <f t="shared" si="38"/>
        <v/>
      </c>
      <c r="N128" s="38"/>
      <c r="O128" s="39" t="s">
        <v>0</v>
      </c>
      <c r="P128" s="38"/>
      <c r="Q128" s="38"/>
      <c r="R128" s="39" t="s">
        <v>0</v>
      </c>
      <c r="S128" s="38"/>
      <c r="T128" s="38"/>
      <c r="U128" s="39" t="s">
        <v>0</v>
      </c>
      <c r="V128" s="38"/>
      <c r="W128" s="37"/>
      <c r="X128" s="37" t="str">
        <f t="shared" si="39"/>
        <v/>
      </c>
      <c r="Y128" s="39" t="s">
        <v>0</v>
      </c>
      <c r="Z128" s="37" t="str">
        <f t="shared" si="40"/>
        <v/>
      </c>
      <c r="AA128" s="37"/>
      <c r="AB128" s="37" t="str">
        <f t="shared" si="41"/>
        <v/>
      </c>
      <c r="AC128" s="39" t="s">
        <v>0</v>
      </c>
      <c r="AD128" s="37" t="str">
        <f t="shared" si="42"/>
        <v/>
      </c>
      <c r="AE128" s="56"/>
      <c r="AF128" s="37" t="str">
        <f t="shared" si="43"/>
        <v/>
      </c>
      <c r="AG128" s="39" t="s">
        <v>0</v>
      </c>
      <c r="AH128" s="37" t="str">
        <f t="shared" si="44"/>
        <v/>
      </c>
      <c r="AJ128" s="4" t="str">
        <f t="shared" si="48"/>
        <v>Ort</v>
      </c>
    </row>
    <row r="129" spans="1:73" ht="15.75" hidden="1">
      <c r="A129" s="3" t="str">
        <f t="shared" si="45"/>
        <v/>
      </c>
      <c r="B129" s="349" t="str">
        <f t="shared" si="46"/>
        <v>00.00.2018</v>
      </c>
      <c r="C129" s="40" t="s">
        <v>75</v>
      </c>
      <c r="D129" s="41"/>
      <c r="E129" s="3">
        <v>1</v>
      </c>
      <c r="F129" s="354" t="str">
        <f>IF(H129&lt;21,COUNTIF(H$6:H129,"&lt;21"),"")</f>
        <v/>
      </c>
      <c r="G129" s="7" t="str">
        <f t="shared" si="47"/>
        <v/>
      </c>
      <c r="H129" s="348">
        <v>21</v>
      </c>
      <c r="I129" s="29" t="s">
        <v>16</v>
      </c>
      <c r="J129" s="348">
        <v>21</v>
      </c>
      <c r="K129" s="7" t="str">
        <f t="shared" si="37"/>
        <v/>
      </c>
      <c r="L129" s="348">
        <v>21</v>
      </c>
      <c r="M129" s="7" t="str">
        <f t="shared" si="38"/>
        <v/>
      </c>
      <c r="N129" s="38"/>
      <c r="O129" s="39" t="s">
        <v>0</v>
      </c>
      <c r="P129" s="38"/>
      <c r="Q129" s="38"/>
      <c r="R129" s="39" t="s">
        <v>0</v>
      </c>
      <c r="S129" s="38"/>
      <c r="T129" s="38"/>
      <c r="U129" s="39" t="s">
        <v>0</v>
      </c>
      <c r="V129" s="38"/>
      <c r="W129" s="37"/>
      <c r="X129" s="37" t="str">
        <f t="shared" si="39"/>
        <v/>
      </c>
      <c r="Y129" s="39" t="s">
        <v>0</v>
      </c>
      <c r="Z129" s="37" t="str">
        <f t="shared" si="40"/>
        <v/>
      </c>
      <c r="AA129" s="37"/>
      <c r="AB129" s="37" t="str">
        <f t="shared" si="41"/>
        <v/>
      </c>
      <c r="AC129" s="39" t="s">
        <v>0</v>
      </c>
      <c r="AD129" s="37" t="str">
        <f t="shared" si="42"/>
        <v/>
      </c>
      <c r="AE129" s="56"/>
      <c r="AF129" s="37" t="str">
        <f t="shared" si="43"/>
        <v/>
      </c>
      <c r="AG129" s="39" t="s">
        <v>0</v>
      </c>
      <c r="AH129" s="37" t="str">
        <f t="shared" si="44"/>
        <v/>
      </c>
      <c r="AJ129" s="4" t="str">
        <f t="shared" si="48"/>
        <v>Ort</v>
      </c>
    </row>
    <row r="130" spans="1:73" ht="15.75" hidden="1">
      <c r="A130" s="3" t="str">
        <f t="shared" si="45"/>
        <v/>
      </c>
      <c r="B130" s="349" t="str">
        <f t="shared" si="46"/>
        <v>00.00.2018</v>
      </c>
      <c r="C130" s="40" t="s">
        <v>75</v>
      </c>
      <c r="D130" s="41"/>
      <c r="E130" s="3">
        <v>1</v>
      </c>
      <c r="F130" s="354" t="str">
        <f>IF(H130&lt;21,COUNTIF(H$6:H130,"&lt;21"),"")</f>
        <v/>
      </c>
      <c r="G130" s="7" t="str">
        <f t="shared" si="47"/>
        <v/>
      </c>
      <c r="H130" s="348">
        <v>21</v>
      </c>
      <c r="I130" s="29" t="s">
        <v>16</v>
      </c>
      <c r="J130" s="348">
        <v>21</v>
      </c>
      <c r="K130" s="7" t="str">
        <f t="shared" si="37"/>
        <v/>
      </c>
      <c r="L130" s="348">
        <v>21</v>
      </c>
      <c r="M130" s="7" t="str">
        <f t="shared" si="38"/>
        <v/>
      </c>
      <c r="N130" s="38"/>
      <c r="O130" s="39" t="s">
        <v>0</v>
      </c>
      <c r="P130" s="38"/>
      <c r="Q130" s="38"/>
      <c r="R130" s="39" t="s">
        <v>0</v>
      </c>
      <c r="S130" s="38"/>
      <c r="T130" s="38"/>
      <c r="U130" s="39" t="s">
        <v>0</v>
      </c>
      <c r="V130" s="38"/>
      <c r="W130" s="37"/>
      <c r="X130" s="37" t="str">
        <f t="shared" si="39"/>
        <v/>
      </c>
      <c r="Y130" s="39" t="s">
        <v>0</v>
      </c>
      <c r="Z130" s="37" t="str">
        <f t="shared" si="40"/>
        <v/>
      </c>
      <c r="AA130" s="37"/>
      <c r="AB130" s="37" t="str">
        <f t="shared" si="41"/>
        <v/>
      </c>
      <c r="AC130" s="39" t="s">
        <v>0</v>
      </c>
      <c r="AD130" s="37" t="str">
        <f t="shared" si="42"/>
        <v/>
      </c>
      <c r="AE130" s="56"/>
      <c r="AF130" s="37" t="str">
        <f t="shared" si="43"/>
        <v/>
      </c>
      <c r="AG130" s="39" t="s">
        <v>0</v>
      </c>
      <c r="AH130" s="37" t="str">
        <f t="shared" si="44"/>
        <v/>
      </c>
      <c r="AJ130" s="4" t="str">
        <f t="shared" si="48"/>
        <v>Ort</v>
      </c>
    </row>
    <row r="131" spans="1:73" ht="15.75" hidden="1">
      <c r="A131" s="3" t="str">
        <f t="shared" si="45"/>
        <v/>
      </c>
      <c r="B131" s="349" t="str">
        <f t="shared" si="46"/>
        <v>00.00.2018</v>
      </c>
      <c r="C131" s="40" t="s">
        <v>75</v>
      </c>
      <c r="D131" s="41"/>
      <c r="E131" s="3">
        <v>1</v>
      </c>
      <c r="F131" s="354" t="str">
        <f>IF(H131&lt;21,COUNTIF(H$6:H131,"&lt;21"),"")</f>
        <v/>
      </c>
      <c r="G131" s="7" t="str">
        <f t="shared" si="47"/>
        <v/>
      </c>
      <c r="H131" s="348">
        <v>21</v>
      </c>
      <c r="I131" s="29" t="s">
        <v>16</v>
      </c>
      <c r="J131" s="348">
        <v>21</v>
      </c>
      <c r="K131" s="7" t="str">
        <f t="shared" si="37"/>
        <v/>
      </c>
      <c r="L131" s="348">
        <v>21</v>
      </c>
      <c r="M131" s="7" t="str">
        <f t="shared" si="38"/>
        <v/>
      </c>
      <c r="N131" s="38"/>
      <c r="O131" s="39" t="s">
        <v>0</v>
      </c>
      <c r="P131" s="38"/>
      <c r="Q131" s="38"/>
      <c r="R131" s="39" t="s">
        <v>0</v>
      </c>
      <c r="S131" s="38"/>
      <c r="T131" s="38"/>
      <c r="U131" s="39" t="s">
        <v>0</v>
      </c>
      <c r="V131" s="38"/>
      <c r="W131" s="37"/>
      <c r="X131" s="37" t="str">
        <f t="shared" si="39"/>
        <v/>
      </c>
      <c r="Y131" s="39" t="s">
        <v>0</v>
      </c>
      <c r="Z131" s="37" t="str">
        <f t="shared" si="40"/>
        <v/>
      </c>
      <c r="AA131" s="37"/>
      <c r="AB131" s="37" t="str">
        <f t="shared" si="41"/>
        <v/>
      </c>
      <c r="AC131" s="39" t="s">
        <v>0</v>
      </c>
      <c r="AD131" s="37" t="str">
        <f t="shared" si="42"/>
        <v/>
      </c>
      <c r="AE131" s="56"/>
      <c r="AF131" s="37" t="str">
        <f t="shared" si="43"/>
        <v/>
      </c>
      <c r="AG131" s="39" t="s">
        <v>0</v>
      </c>
      <c r="AH131" s="37" t="str">
        <f t="shared" si="44"/>
        <v/>
      </c>
      <c r="AJ131" s="4" t="str">
        <f t="shared" si="48"/>
        <v>Ort</v>
      </c>
    </row>
    <row r="132" spans="1:73" ht="15.75" hidden="1">
      <c r="A132" s="3" t="str">
        <f t="shared" si="45"/>
        <v/>
      </c>
      <c r="B132" s="349" t="str">
        <f t="shared" si="46"/>
        <v>00.00.2018</v>
      </c>
      <c r="C132" s="40" t="s">
        <v>75</v>
      </c>
      <c r="D132" s="41"/>
      <c r="E132" s="3">
        <v>1</v>
      </c>
      <c r="F132" s="354" t="str">
        <f>IF(H132&lt;21,COUNTIF(H$6:H132,"&lt;21"),"")</f>
        <v/>
      </c>
      <c r="G132" s="7" t="str">
        <f t="shared" si="47"/>
        <v/>
      </c>
      <c r="H132" s="348">
        <v>21</v>
      </c>
      <c r="I132" s="29" t="s">
        <v>16</v>
      </c>
      <c r="J132" s="348">
        <v>21</v>
      </c>
      <c r="K132" s="7" t="str">
        <f t="shared" si="37"/>
        <v/>
      </c>
      <c r="L132" s="348">
        <v>21</v>
      </c>
      <c r="M132" s="7" t="str">
        <f t="shared" si="38"/>
        <v/>
      </c>
      <c r="N132" s="38"/>
      <c r="O132" s="39" t="s">
        <v>0</v>
      </c>
      <c r="P132" s="38"/>
      <c r="Q132" s="38"/>
      <c r="R132" s="39" t="s">
        <v>0</v>
      </c>
      <c r="S132" s="38"/>
      <c r="T132" s="38"/>
      <c r="U132" s="39" t="s">
        <v>0</v>
      </c>
      <c r="V132" s="38"/>
      <c r="W132" s="37"/>
      <c r="X132" s="37" t="str">
        <f t="shared" si="39"/>
        <v/>
      </c>
      <c r="Y132" s="39" t="s">
        <v>0</v>
      </c>
      <c r="Z132" s="37" t="str">
        <f t="shared" si="40"/>
        <v/>
      </c>
      <c r="AA132" s="37"/>
      <c r="AB132" s="37" t="str">
        <f t="shared" si="41"/>
        <v/>
      </c>
      <c r="AC132" s="39" t="s">
        <v>0</v>
      </c>
      <c r="AD132" s="37" t="str">
        <f t="shared" si="42"/>
        <v/>
      </c>
      <c r="AE132" s="56"/>
      <c r="AF132" s="37" t="str">
        <f t="shared" si="43"/>
        <v/>
      </c>
      <c r="AG132" s="39" t="s">
        <v>0</v>
      </c>
      <c r="AH132" s="37" t="str">
        <f t="shared" si="44"/>
        <v/>
      </c>
      <c r="AJ132" s="4" t="str">
        <f t="shared" si="48"/>
        <v>Ort</v>
      </c>
    </row>
    <row r="133" spans="1:73" ht="15.75" hidden="1">
      <c r="A133" s="3" t="str">
        <f t="shared" si="45"/>
        <v/>
      </c>
      <c r="B133" s="349" t="str">
        <f t="shared" si="46"/>
        <v>00.00.2018</v>
      </c>
      <c r="C133" s="40" t="s">
        <v>75</v>
      </c>
      <c r="D133" s="41"/>
      <c r="E133" s="3">
        <v>1</v>
      </c>
      <c r="F133" s="354" t="str">
        <f>IF(H133&lt;21,COUNTIF(H$6:H133,"&lt;21"),"")</f>
        <v/>
      </c>
      <c r="G133" s="7" t="str">
        <f t="shared" si="47"/>
        <v/>
      </c>
      <c r="H133" s="348">
        <v>21</v>
      </c>
      <c r="I133" s="29" t="s">
        <v>16</v>
      </c>
      <c r="J133" s="348">
        <v>21</v>
      </c>
      <c r="K133" s="7" t="str">
        <f t="shared" si="37"/>
        <v/>
      </c>
      <c r="L133" s="348">
        <v>21</v>
      </c>
      <c r="M133" s="7" t="str">
        <f t="shared" si="38"/>
        <v/>
      </c>
      <c r="N133" s="38"/>
      <c r="O133" s="39" t="s">
        <v>0</v>
      </c>
      <c r="P133" s="38"/>
      <c r="Q133" s="38"/>
      <c r="R133" s="39" t="s">
        <v>0</v>
      </c>
      <c r="S133" s="38"/>
      <c r="T133" s="38"/>
      <c r="U133" s="39" t="s">
        <v>0</v>
      </c>
      <c r="V133" s="38"/>
      <c r="W133" s="37"/>
      <c r="X133" s="37" t="str">
        <f t="shared" si="39"/>
        <v/>
      </c>
      <c r="Y133" s="39" t="s">
        <v>0</v>
      </c>
      <c r="Z133" s="37" t="str">
        <f t="shared" si="40"/>
        <v/>
      </c>
      <c r="AA133" s="37"/>
      <c r="AB133" s="37" t="str">
        <f t="shared" si="41"/>
        <v/>
      </c>
      <c r="AC133" s="39" t="s">
        <v>0</v>
      </c>
      <c r="AD133" s="37" t="str">
        <f t="shared" si="42"/>
        <v/>
      </c>
      <c r="AE133" s="56"/>
      <c r="AF133" s="37" t="str">
        <f t="shared" si="43"/>
        <v/>
      </c>
      <c r="AG133" s="39" t="s">
        <v>0</v>
      </c>
      <c r="AH133" s="37" t="str">
        <f t="shared" si="44"/>
        <v/>
      </c>
      <c r="AJ133" s="4" t="str">
        <f t="shared" si="48"/>
        <v>Ort</v>
      </c>
    </row>
    <row r="134" spans="1:73" ht="15.75" hidden="1">
      <c r="A134" s="3" t="str">
        <f t="shared" si="45"/>
        <v/>
      </c>
      <c r="B134" s="349" t="str">
        <f t="shared" si="46"/>
        <v>00.00.2018</v>
      </c>
      <c r="C134" s="40" t="s">
        <v>75</v>
      </c>
      <c r="D134" s="41"/>
      <c r="E134" s="3">
        <v>1</v>
      </c>
      <c r="F134" s="354" t="str">
        <f>IF(H134&lt;21,COUNTIF(H$6:H134,"&lt;21"),"")</f>
        <v/>
      </c>
      <c r="G134" s="7" t="str">
        <f t="shared" si="47"/>
        <v/>
      </c>
      <c r="H134" s="348">
        <v>21</v>
      </c>
      <c r="I134" s="29" t="s">
        <v>16</v>
      </c>
      <c r="J134" s="348">
        <v>21</v>
      </c>
      <c r="K134" s="7" t="str">
        <f t="shared" si="37"/>
        <v/>
      </c>
      <c r="L134" s="348">
        <v>21</v>
      </c>
      <c r="M134" s="7" t="str">
        <f t="shared" si="38"/>
        <v/>
      </c>
      <c r="N134" s="38"/>
      <c r="O134" s="39" t="s">
        <v>0</v>
      </c>
      <c r="P134" s="38"/>
      <c r="Q134" s="38"/>
      <c r="R134" s="39" t="s">
        <v>0</v>
      </c>
      <c r="S134" s="38"/>
      <c r="T134" s="38"/>
      <c r="U134" s="39" t="s">
        <v>0</v>
      </c>
      <c r="V134" s="38"/>
      <c r="W134" s="37"/>
      <c r="X134" s="37" t="str">
        <f t="shared" si="39"/>
        <v/>
      </c>
      <c r="Y134" s="39" t="s">
        <v>0</v>
      </c>
      <c r="Z134" s="37" t="str">
        <f t="shared" si="40"/>
        <v/>
      </c>
      <c r="AA134" s="37"/>
      <c r="AB134" s="37" t="str">
        <f t="shared" si="41"/>
        <v/>
      </c>
      <c r="AC134" s="39" t="s">
        <v>0</v>
      </c>
      <c r="AD134" s="37" t="str">
        <f t="shared" si="42"/>
        <v/>
      </c>
      <c r="AE134" s="56"/>
      <c r="AF134" s="37" t="str">
        <f t="shared" si="43"/>
        <v/>
      </c>
      <c r="AG134" s="39" t="s">
        <v>0</v>
      </c>
      <c r="AH134" s="37" t="str">
        <f t="shared" si="44"/>
        <v/>
      </c>
      <c r="AJ134" s="4" t="str">
        <f t="shared" si="48"/>
        <v>Ort</v>
      </c>
    </row>
    <row r="135" spans="1:73" ht="15.75" hidden="1">
      <c r="A135" s="3" t="str">
        <f t="shared" si="45"/>
        <v/>
      </c>
      <c r="B135" s="349" t="str">
        <f t="shared" si="46"/>
        <v>00.00.2018</v>
      </c>
      <c r="C135" s="40" t="s">
        <v>75</v>
      </c>
      <c r="D135" s="41"/>
      <c r="E135" s="3">
        <v>1</v>
      </c>
      <c r="F135" s="354" t="str">
        <f>IF(H135&lt;21,COUNTIF(H$6:H135,"&lt;21"),"")</f>
        <v/>
      </c>
      <c r="G135" s="7" t="str">
        <f t="shared" si="47"/>
        <v/>
      </c>
      <c r="H135" s="348">
        <v>21</v>
      </c>
      <c r="I135" s="29" t="s">
        <v>16</v>
      </c>
      <c r="J135" s="348">
        <v>21</v>
      </c>
      <c r="K135" s="7" t="str">
        <f t="shared" si="37"/>
        <v/>
      </c>
      <c r="L135" s="348">
        <v>21</v>
      </c>
      <c r="M135" s="7" t="str">
        <f t="shared" si="38"/>
        <v/>
      </c>
      <c r="N135" s="38"/>
      <c r="O135" s="39" t="s">
        <v>0</v>
      </c>
      <c r="P135" s="38"/>
      <c r="Q135" s="38"/>
      <c r="R135" s="39" t="s">
        <v>0</v>
      </c>
      <c r="S135" s="38"/>
      <c r="T135" s="38"/>
      <c r="U135" s="39" t="s">
        <v>0</v>
      </c>
      <c r="V135" s="38"/>
      <c r="W135" s="37"/>
      <c r="X135" s="37" t="str">
        <f t="shared" si="39"/>
        <v/>
      </c>
      <c r="Y135" s="39" t="s">
        <v>0</v>
      </c>
      <c r="Z135" s="37" t="str">
        <f t="shared" si="40"/>
        <v/>
      </c>
      <c r="AA135" s="37"/>
      <c r="AB135" s="37" t="str">
        <f t="shared" si="41"/>
        <v/>
      </c>
      <c r="AC135" s="39" t="s">
        <v>0</v>
      </c>
      <c r="AD135" s="37" t="str">
        <f t="shared" si="42"/>
        <v/>
      </c>
      <c r="AE135" s="56"/>
      <c r="AF135" s="37" t="str">
        <f t="shared" si="43"/>
        <v/>
      </c>
      <c r="AG135" s="39" t="s">
        <v>0</v>
      </c>
      <c r="AH135" s="37" t="str">
        <f t="shared" si="44"/>
        <v/>
      </c>
      <c r="AJ135" s="4" t="str">
        <f t="shared" si="48"/>
        <v>Ort</v>
      </c>
    </row>
    <row r="136" spans="1:73" ht="15.75" hidden="1">
      <c r="A136" s="3" t="str">
        <f t="shared" si="45"/>
        <v/>
      </c>
      <c r="B136" s="349" t="str">
        <f t="shared" si="46"/>
        <v>00.00.2018</v>
      </c>
      <c r="C136" s="40" t="s">
        <v>75</v>
      </c>
      <c r="D136" s="41"/>
      <c r="E136" s="3">
        <v>1</v>
      </c>
      <c r="F136" s="354" t="str">
        <f>IF(H136&lt;21,COUNTIF(H$6:H136,"&lt;21"),"")</f>
        <v/>
      </c>
      <c r="G136" s="7" t="str">
        <f t="shared" si="47"/>
        <v/>
      </c>
      <c r="H136" s="348">
        <v>21</v>
      </c>
      <c r="I136" s="29" t="s">
        <v>16</v>
      </c>
      <c r="J136" s="348">
        <v>21</v>
      </c>
      <c r="K136" s="7" t="str">
        <f t="shared" si="37"/>
        <v/>
      </c>
      <c r="L136" s="348">
        <v>21</v>
      </c>
      <c r="M136" s="7" t="str">
        <f t="shared" si="38"/>
        <v/>
      </c>
      <c r="N136" s="38"/>
      <c r="O136" s="39" t="s">
        <v>0</v>
      </c>
      <c r="P136" s="38"/>
      <c r="Q136" s="38"/>
      <c r="R136" s="39" t="s">
        <v>0</v>
      </c>
      <c r="S136" s="38"/>
      <c r="T136" s="38"/>
      <c r="U136" s="39" t="s">
        <v>0</v>
      </c>
      <c r="V136" s="38"/>
      <c r="W136" s="37"/>
      <c r="X136" s="37" t="str">
        <f t="shared" si="39"/>
        <v/>
      </c>
      <c r="Y136" s="39" t="s">
        <v>0</v>
      </c>
      <c r="Z136" s="37" t="str">
        <f t="shared" si="40"/>
        <v/>
      </c>
      <c r="AA136" s="37"/>
      <c r="AB136" s="37" t="str">
        <f t="shared" si="41"/>
        <v/>
      </c>
      <c r="AC136" s="39" t="s">
        <v>0</v>
      </c>
      <c r="AD136" s="37" t="str">
        <f t="shared" si="42"/>
        <v/>
      </c>
      <c r="AE136" s="56"/>
      <c r="AF136" s="37" t="str">
        <f t="shared" si="43"/>
        <v/>
      </c>
      <c r="AG136" s="39" t="s">
        <v>0</v>
      </c>
      <c r="AH136" s="37" t="str">
        <f t="shared" si="44"/>
        <v/>
      </c>
      <c r="AJ136" s="4" t="str">
        <f t="shared" si="48"/>
        <v>Ort</v>
      </c>
    </row>
    <row r="137" spans="1:73" ht="15.75" hidden="1">
      <c r="A137" s="350" t="str">
        <f t="shared" si="45"/>
        <v/>
      </c>
      <c r="B137" s="349" t="str">
        <f t="shared" si="46"/>
        <v>00.00.2018</v>
      </c>
      <c r="C137" s="40" t="s">
        <v>75</v>
      </c>
      <c r="D137" s="41"/>
      <c r="E137" s="3">
        <v>1</v>
      </c>
      <c r="F137" s="354" t="str">
        <f>IF(H137&lt;21,COUNTIF(H$6:H137,"&lt;21"),"")</f>
        <v/>
      </c>
      <c r="G137" s="7" t="str">
        <f t="shared" si="47"/>
        <v/>
      </c>
      <c r="H137" s="348">
        <v>21</v>
      </c>
      <c r="I137" s="29" t="s">
        <v>16</v>
      </c>
      <c r="J137" s="348">
        <v>21</v>
      </c>
      <c r="K137" s="7" t="str">
        <f t="shared" si="37"/>
        <v/>
      </c>
      <c r="L137" s="348">
        <v>21</v>
      </c>
      <c r="M137" s="7" t="str">
        <f t="shared" si="38"/>
        <v/>
      </c>
      <c r="N137" s="38"/>
      <c r="O137" s="39" t="s">
        <v>0</v>
      </c>
      <c r="P137" s="38"/>
      <c r="Q137" s="38"/>
      <c r="R137" s="39" t="s">
        <v>0</v>
      </c>
      <c r="S137" s="38"/>
      <c r="T137" s="38"/>
      <c r="U137" s="39" t="s">
        <v>0</v>
      </c>
      <c r="V137" s="38"/>
      <c r="W137" s="37"/>
      <c r="X137" s="37" t="str">
        <f t="shared" si="39"/>
        <v/>
      </c>
      <c r="Y137" s="39" t="s">
        <v>0</v>
      </c>
      <c r="Z137" s="37" t="str">
        <f t="shared" si="40"/>
        <v/>
      </c>
      <c r="AA137" s="37"/>
      <c r="AB137" s="37" t="str">
        <f t="shared" si="41"/>
        <v/>
      </c>
      <c r="AC137" s="39" t="s">
        <v>0</v>
      </c>
      <c r="AD137" s="37" t="str">
        <f t="shared" si="42"/>
        <v/>
      </c>
      <c r="AE137" s="56"/>
      <c r="AF137" s="37" t="str">
        <f t="shared" si="43"/>
        <v/>
      </c>
      <c r="AG137" s="39" t="s">
        <v>0</v>
      </c>
      <c r="AH137" s="37" t="str">
        <f t="shared" si="44"/>
        <v/>
      </c>
      <c r="AJ137" s="4" t="str">
        <f t="shared" si="48"/>
        <v>Ort</v>
      </c>
    </row>
    <row r="138" spans="1:73">
      <c r="A138" s="351"/>
      <c r="W138" s="34"/>
      <c r="X138" s="34"/>
      <c r="Y138" s="34"/>
      <c r="Z138" s="34"/>
      <c r="AE138" s="57"/>
    </row>
    <row r="139" spans="1:73">
      <c r="A139" s="351"/>
      <c r="B139" s="149"/>
      <c r="W139" s="34"/>
      <c r="X139" s="34"/>
      <c r="Y139" s="34"/>
      <c r="Z139" s="34"/>
      <c r="AE139" s="57"/>
    </row>
    <row r="140" spans="1:73" s="17" customFormat="1" ht="20.25">
      <c r="C140" s="14"/>
      <c r="D140" s="15"/>
      <c r="E140" s="15"/>
      <c r="F140" s="16" t="s">
        <v>81</v>
      </c>
      <c r="I140" s="16"/>
      <c r="J140" s="16"/>
      <c r="K140" s="362" t="s">
        <v>145</v>
      </c>
      <c r="L140" s="362"/>
      <c r="M140" s="363" t="s">
        <v>146</v>
      </c>
      <c r="N140" s="14"/>
      <c r="O140" s="14"/>
      <c r="P140" s="364" t="s">
        <v>147</v>
      </c>
      <c r="Q140" s="14"/>
      <c r="R140" s="14"/>
      <c r="S140" s="14"/>
      <c r="T140" s="14"/>
      <c r="U140" s="14"/>
      <c r="V140" s="14"/>
      <c r="W140" s="35"/>
      <c r="X140" s="378" t="s">
        <v>149</v>
      </c>
      <c r="Y140" s="35"/>
      <c r="Z140" s="35"/>
      <c r="AA140" s="35"/>
      <c r="AB140" s="35"/>
      <c r="AC140" s="35"/>
      <c r="AD140" s="35"/>
      <c r="AE140" s="54"/>
      <c r="AF140" s="35"/>
      <c r="AG140" s="35"/>
      <c r="AH140" s="35"/>
      <c r="AM140" s="4"/>
      <c r="AN140" s="4"/>
    </row>
    <row r="141" spans="1:73" s="30" customFormat="1" ht="20.25">
      <c r="A141" s="147" t="s">
        <v>13</v>
      </c>
      <c r="B141" s="20" t="s">
        <v>83</v>
      </c>
      <c r="C141" s="25" t="s">
        <v>8</v>
      </c>
      <c r="D141" s="26" t="s">
        <v>4</v>
      </c>
      <c r="E141" s="26" t="s">
        <v>3</v>
      </c>
      <c r="F141" s="26" t="s">
        <v>13</v>
      </c>
      <c r="G141" s="347" t="s">
        <v>7</v>
      </c>
      <c r="H141" s="348" t="s">
        <v>24</v>
      </c>
      <c r="I141" s="29"/>
      <c r="J141" s="7" t="s">
        <v>25</v>
      </c>
      <c r="K141" s="347" t="s">
        <v>6</v>
      </c>
      <c r="L141" s="348" t="s">
        <v>76</v>
      </c>
      <c r="M141" s="29" t="s">
        <v>5</v>
      </c>
      <c r="N141" s="394" t="s">
        <v>29</v>
      </c>
      <c r="O141" s="394"/>
      <c r="P141" s="394"/>
      <c r="Q141" s="394" t="s">
        <v>30</v>
      </c>
      <c r="R141" s="394"/>
      <c r="S141" s="394"/>
      <c r="T141" s="394" t="s">
        <v>31</v>
      </c>
      <c r="U141" s="394"/>
      <c r="V141" s="394"/>
      <c r="W141" s="39"/>
      <c r="X141" s="395" t="s">
        <v>2</v>
      </c>
      <c r="Y141" s="395"/>
      <c r="Z141" s="395"/>
      <c r="AA141" s="39"/>
      <c r="AB141" s="395" t="s">
        <v>32</v>
      </c>
      <c r="AC141" s="395"/>
      <c r="AD141" s="395"/>
      <c r="AE141" s="55"/>
      <c r="AF141" s="395" t="s">
        <v>28</v>
      </c>
      <c r="AG141" s="395"/>
      <c r="AH141" s="395"/>
      <c r="AM141" s="17"/>
      <c r="AN141" s="17"/>
      <c r="BU141" s="365" t="s">
        <v>135</v>
      </c>
    </row>
    <row r="142" spans="1:73" ht="15.75">
      <c r="A142" s="3">
        <f>F142</f>
        <v>41</v>
      </c>
      <c r="B142" s="349" t="str">
        <f>K$140</f>
        <v>00.00.2018</v>
      </c>
      <c r="C142" s="366">
        <v>0.39583333333333331</v>
      </c>
      <c r="D142" s="353">
        <v>1</v>
      </c>
      <c r="E142" s="354">
        <v>1</v>
      </c>
      <c r="F142" s="354">
        <f>IF(H142&lt;21,COUNTIF(H$6:H142,"&lt;21"),"")</f>
        <v>41</v>
      </c>
      <c r="G142" s="355" t="str">
        <f>IF(H142=21,"",INDEX($AM$7:$AN$27,H142,2))</f>
        <v>Team 6</v>
      </c>
      <c r="H142" s="343">
        <v>6</v>
      </c>
      <c r="I142" s="29" t="s">
        <v>16</v>
      </c>
      <c r="J142" s="343">
        <v>1</v>
      </c>
      <c r="K142" s="355" t="str">
        <f t="shared" ref="K142:K171" si="49">IF(J142=21,"",INDEX($AM$7:$AN$27,J142,2))</f>
        <v>Team 1</v>
      </c>
      <c r="L142" s="343">
        <v>7</v>
      </c>
      <c r="M142" s="355" t="str">
        <f t="shared" ref="M142:M171" si="50">IF(L142=21,"",INDEX($AM$7:$AN$27,L142,2))</f>
        <v>Team 7</v>
      </c>
      <c r="N142" s="357"/>
      <c r="O142" s="358" t="s">
        <v>0</v>
      </c>
      <c r="P142" s="357"/>
      <c r="Q142" s="357"/>
      <c r="R142" s="358" t="s">
        <v>0</v>
      </c>
      <c r="S142" s="357"/>
      <c r="T142" s="357"/>
      <c r="U142" s="358" t="s">
        <v>0</v>
      </c>
      <c r="V142" s="357"/>
      <c r="W142" s="359"/>
      <c r="X142" s="359" t="str">
        <f t="shared" ref="X142:X171" si="51">IF(N142+P142&gt;0,IF(AB142&gt;0,IF(AB142&gt;AD142,2,IF(AB142&lt;AD142,0,1)),0),"")</f>
        <v/>
      </c>
      <c r="Y142" s="358" t="s">
        <v>0</v>
      </c>
      <c r="Z142" s="359" t="str">
        <f t="shared" ref="Z142:Z171" si="52">IF(N142+P142&gt;0,IF(AD142&gt;0,IF(AD142&gt;AB142,2,IF(AD142&lt;AB142,0,1)),0),"")</f>
        <v/>
      </c>
      <c r="AA142" s="359"/>
      <c r="AB142" s="359" t="str">
        <f t="shared" ref="AB142:AB171" si="53">IF(N142+P142&gt;0,IF(N142&gt;P142,1,0)+IF(Q142&gt;S142,1,0)+IF(T142&gt;V142,1,0),"")</f>
        <v/>
      </c>
      <c r="AC142" s="358" t="s">
        <v>0</v>
      </c>
      <c r="AD142" s="359" t="str">
        <f t="shared" ref="AD142:AD171" si="54">IF(N142+P142&gt;0,IF(N142&lt;P142,1,0)+IF(Q142&lt;S142,1,0)+IF(T142&lt;V142,1,0),"")</f>
        <v/>
      </c>
      <c r="AE142" s="360"/>
      <c r="AF142" s="359" t="str">
        <f t="shared" ref="AF142:AF171" si="55">IF(N142+P142&gt;0,N142+Q142+T142,"")</f>
        <v/>
      </c>
      <c r="AG142" s="358" t="s">
        <v>0</v>
      </c>
      <c r="AH142" s="359" t="str">
        <f t="shared" ref="AH142:AH171" si="56">IF(N142+P142&gt;0,P142+S142+V142,"")</f>
        <v/>
      </c>
      <c r="AJ142" s="4" t="str">
        <f>M$140</f>
        <v>Ort</v>
      </c>
      <c r="AM142" s="30"/>
      <c r="AN142" s="30"/>
      <c r="AQ142" s="4" t="s">
        <v>134</v>
      </c>
      <c r="AR142" s="4" t="str">
        <f>Platzierung!T22</f>
        <v>Team 2</v>
      </c>
      <c r="BU142" s="4" t="str">
        <f>Platzierung!T29</f>
        <v>Team 9</v>
      </c>
    </row>
    <row r="143" spans="1:73" ht="15.75">
      <c r="A143" s="3">
        <f t="shared" ref="A143:A171" si="57">F143</f>
        <v>42</v>
      </c>
      <c r="B143" s="349" t="str">
        <f t="shared" ref="B143:B171" si="58">K$140</f>
        <v>00.00.2018</v>
      </c>
      <c r="C143" s="40" t="s">
        <v>75</v>
      </c>
      <c r="D143" s="41">
        <v>2</v>
      </c>
      <c r="E143" s="3">
        <v>1</v>
      </c>
      <c r="F143" s="3">
        <f>IF(H143&lt;21,COUNTIF(H$6:H143,"&lt;21"),"")</f>
        <v>42</v>
      </c>
      <c r="G143" s="7" t="str">
        <f>IF(H143=21,"",INDEX($AM$7:$AN$27,H143,2))</f>
        <v>Team 6</v>
      </c>
      <c r="H143" s="343">
        <v>6</v>
      </c>
      <c r="I143" s="29" t="s">
        <v>16</v>
      </c>
      <c r="J143" s="343">
        <v>7</v>
      </c>
      <c r="K143" s="7" t="str">
        <f t="shared" si="49"/>
        <v>Team 7</v>
      </c>
      <c r="L143" s="343">
        <v>1</v>
      </c>
      <c r="M143" s="7" t="str">
        <f t="shared" si="50"/>
        <v>Team 1</v>
      </c>
      <c r="N143" s="38"/>
      <c r="O143" s="39" t="s">
        <v>0</v>
      </c>
      <c r="P143" s="38"/>
      <c r="Q143" s="38"/>
      <c r="R143" s="39" t="s">
        <v>0</v>
      </c>
      <c r="S143" s="38"/>
      <c r="T143" s="38"/>
      <c r="U143" s="39" t="s">
        <v>0</v>
      </c>
      <c r="V143" s="38"/>
      <c r="W143" s="37"/>
      <c r="X143" s="37" t="str">
        <f t="shared" si="51"/>
        <v/>
      </c>
      <c r="Y143" s="39" t="s">
        <v>0</v>
      </c>
      <c r="Z143" s="37" t="str">
        <f t="shared" si="52"/>
        <v/>
      </c>
      <c r="AA143" s="37"/>
      <c r="AB143" s="37" t="str">
        <f t="shared" si="53"/>
        <v/>
      </c>
      <c r="AC143" s="39" t="s">
        <v>0</v>
      </c>
      <c r="AD143" s="37" t="str">
        <f t="shared" si="54"/>
        <v/>
      </c>
      <c r="AE143" s="56"/>
      <c r="AF143" s="37" t="str">
        <f t="shared" si="55"/>
        <v/>
      </c>
      <c r="AG143" s="39" t="s">
        <v>0</v>
      </c>
      <c r="AH143" s="37" t="str">
        <f t="shared" si="56"/>
        <v/>
      </c>
      <c r="AJ143" s="4" t="str">
        <f t="shared" ref="AJ143:AJ171" si="59">M$140</f>
        <v>Ort</v>
      </c>
      <c r="AQ143" s="4" t="s">
        <v>134</v>
      </c>
      <c r="AR143" s="4" t="str">
        <f>Platzierung!T25</f>
        <v>Team 5</v>
      </c>
    </row>
    <row r="144" spans="1:73" ht="15.75">
      <c r="A144" s="3">
        <f t="shared" si="57"/>
        <v>43</v>
      </c>
      <c r="B144" s="349" t="str">
        <f t="shared" si="58"/>
        <v>00.00.2018</v>
      </c>
      <c r="C144" s="352" t="s">
        <v>75</v>
      </c>
      <c r="D144" s="353">
        <v>3</v>
      </c>
      <c r="E144" s="354">
        <v>1</v>
      </c>
      <c r="F144" s="354">
        <f>IF(H144&lt;21,COUNTIF(H$6:H144,"&lt;21"),"")</f>
        <v>43</v>
      </c>
      <c r="G144" s="355" t="str">
        <f t="shared" ref="G144:G171" si="60">IF(H144=21,"",INDEX($AM$7:$AN$27,H144,2))</f>
        <v>Team 1</v>
      </c>
      <c r="H144" s="343">
        <v>1</v>
      </c>
      <c r="I144" s="29" t="s">
        <v>16</v>
      </c>
      <c r="J144" s="343">
        <v>7</v>
      </c>
      <c r="K144" s="355" t="str">
        <f t="shared" si="49"/>
        <v>Team 7</v>
      </c>
      <c r="L144" s="343">
        <v>6</v>
      </c>
      <c r="M144" s="355" t="str">
        <f t="shared" si="50"/>
        <v>Team 6</v>
      </c>
      <c r="N144" s="357"/>
      <c r="O144" s="358" t="s">
        <v>0</v>
      </c>
      <c r="P144" s="357"/>
      <c r="Q144" s="357"/>
      <c r="R144" s="358" t="s">
        <v>0</v>
      </c>
      <c r="S144" s="357"/>
      <c r="T144" s="357"/>
      <c r="U144" s="358" t="s">
        <v>0</v>
      </c>
      <c r="V144" s="357"/>
      <c r="W144" s="359"/>
      <c r="X144" s="359" t="str">
        <f t="shared" si="51"/>
        <v/>
      </c>
      <c r="Y144" s="358" t="s">
        <v>0</v>
      </c>
      <c r="Z144" s="359" t="str">
        <f t="shared" si="52"/>
        <v/>
      </c>
      <c r="AA144" s="359"/>
      <c r="AB144" s="359" t="str">
        <f t="shared" si="53"/>
        <v/>
      </c>
      <c r="AC144" s="358" t="s">
        <v>0</v>
      </c>
      <c r="AD144" s="359" t="str">
        <f t="shared" si="54"/>
        <v/>
      </c>
      <c r="AE144" s="360"/>
      <c r="AF144" s="359" t="str">
        <f t="shared" si="55"/>
        <v/>
      </c>
      <c r="AG144" s="358" t="s">
        <v>0</v>
      </c>
      <c r="AH144" s="359" t="str">
        <f t="shared" si="56"/>
        <v/>
      </c>
      <c r="AJ144" s="4" t="str">
        <f t="shared" si="59"/>
        <v>Ort</v>
      </c>
      <c r="AQ144" s="4" t="s">
        <v>134</v>
      </c>
      <c r="AR144" s="4" t="str">
        <f>Platzierung!T29</f>
        <v>Team 9</v>
      </c>
    </row>
    <row r="145" spans="1:40" ht="15.75">
      <c r="A145" s="3">
        <f t="shared" si="57"/>
        <v>44</v>
      </c>
      <c r="B145" s="349" t="str">
        <f t="shared" si="58"/>
        <v>00.00.2018</v>
      </c>
      <c r="C145" s="40" t="s">
        <v>75</v>
      </c>
      <c r="D145" s="41">
        <v>4</v>
      </c>
      <c r="E145" s="3">
        <v>1</v>
      </c>
      <c r="F145" s="3">
        <f>IF(H145&lt;21,COUNTIF(H$6:H145,"&lt;21"),"")</f>
        <v>44</v>
      </c>
      <c r="G145" s="7" t="str">
        <f t="shared" si="60"/>
        <v>Team 4</v>
      </c>
      <c r="H145" s="343">
        <v>4</v>
      </c>
      <c r="I145" s="29" t="s">
        <v>16</v>
      </c>
      <c r="J145" s="343">
        <v>1</v>
      </c>
      <c r="K145" s="7" t="str">
        <f t="shared" si="49"/>
        <v>Team 1</v>
      </c>
      <c r="L145" s="343">
        <v>7</v>
      </c>
      <c r="M145" s="7" t="str">
        <f t="shared" si="50"/>
        <v>Team 7</v>
      </c>
      <c r="N145" s="38"/>
      <c r="O145" s="39" t="s">
        <v>0</v>
      </c>
      <c r="P145" s="38"/>
      <c r="Q145" s="38"/>
      <c r="R145" s="39" t="s">
        <v>0</v>
      </c>
      <c r="S145" s="38"/>
      <c r="T145" s="38"/>
      <c r="U145" s="39" t="s">
        <v>0</v>
      </c>
      <c r="V145" s="38"/>
      <c r="W145" s="37"/>
      <c r="X145" s="37" t="str">
        <f t="shared" si="51"/>
        <v/>
      </c>
      <c r="Y145" s="39" t="s">
        <v>0</v>
      </c>
      <c r="Z145" s="37" t="str">
        <f t="shared" si="52"/>
        <v/>
      </c>
      <c r="AA145" s="37"/>
      <c r="AB145" s="37" t="str">
        <f t="shared" si="53"/>
        <v/>
      </c>
      <c r="AC145" s="39" t="s">
        <v>0</v>
      </c>
      <c r="AD145" s="37" t="str">
        <f t="shared" si="54"/>
        <v/>
      </c>
      <c r="AE145" s="56"/>
      <c r="AF145" s="37" t="str">
        <f t="shared" si="55"/>
        <v/>
      </c>
      <c r="AG145" s="39" t="s">
        <v>0</v>
      </c>
      <c r="AH145" s="37" t="str">
        <f t="shared" si="56"/>
        <v/>
      </c>
      <c r="AJ145" s="4" t="str">
        <f t="shared" si="59"/>
        <v>Ort</v>
      </c>
    </row>
    <row r="146" spans="1:40" ht="15.75">
      <c r="A146" s="3">
        <f t="shared" si="57"/>
        <v>45</v>
      </c>
      <c r="B146" s="349" t="str">
        <f t="shared" si="58"/>
        <v>00.00.2018</v>
      </c>
      <c r="C146" s="352" t="s">
        <v>75</v>
      </c>
      <c r="D146" s="353">
        <v>5</v>
      </c>
      <c r="E146" s="354">
        <v>1</v>
      </c>
      <c r="F146" s="354">
        <f>IF(H146&lt;21,COUNTIF(H$6:H146,"&lt;21"),"")</f>
        <v>45</v>
      </c>
      <c r="G146" s="355" t="str">
        <f t="shared" si="60"/>
        <v>Team 6</v>
      </c>
      <c r="H146" s="343">
        <v>6</v>
      </c>
      <c r="I146" s="29" t="s">
        <v>16</v>
      </c>
      <c r="J146" s="343">
        <v>3</v>
      </c>
      <c r="K146" s="355" t="str">
        <f t="shared" si="49"/>
        <v>Team 3</v>
      </c>
      <c r="L146" s="343">
        <v>4</v>
      </c>
      <c r="M146" s="355" t="str">
        <f t="shared" si="50"/>
        <v>Team 4</v>
      </c>
      <c r="N146" s="357"/>
      <c r="O146" s="358" t="s">
        <v>0</v>
      </c>
      <c r="P146" s="357"/>
      <c r="Q146" s="357"/>
      <c r="R146" s="358" t="s">
        <v>0</v>
      </c>
      <c r="S146" s="357"/>
      <c r="T146" s="357"/>
      <c r="U146" s="358" t="s">
        <v>0</v>
      </c>
      <c r="V146" s="357"/>
      <c r="W146" s="359"/>
      <c r="X146" s="359" t="str">
        <f t="shared" si="51"/>
        <v/>
      </c>
      <c r="Y146" s="358" t="s">
        <v>0</v>
      </c>
      <c r="Z146" s="359" t="str">
        <f t="shared" si="52"/>
        <v/>
      </c>
      <c r="AA146" s="359"/>
      <c r="AB146" s="359" t="str">
        <f t="shared" si="53"/>
        <v/>
      </c>
      <c r="AC146" s="358" t="s">
        <v>0</v>
      </c>
      <c r="AD146" s="359" t="str">
        <f t="shared" si="54"/>
        <v/>
      </c>
      <c r="AE146" s="360"/>
      <c r="AF146" s="359" t="str">
        <f t="shared" si="55"/>
        <v/>
      </c>
      <c r="AG146" s="358" t="s">
        <v>0</v>
      </c>
      <c r="AH146" s="359" t="str">
        <f t="shared" si="56"/>
        <v/>
      </c>
      <c r="AJ146" s="4" t="str">
        <f t="shared" si="59"/>
        <v>Ort</v>
      </c>
    </row>
    <row r="147" spans="1:40" ht="15.75">
      <c r="A147" s="3">
        <f t="shared" si="57"/>
        <v>46</v>
      </c>
      <c r="B147" s="349" t="str">
        <f t="shared" si="58"/>
        <v>00.00.2018</v>
      </c>
      <c r="C147" s="40" t="s">
        <v>75</v>
      </c>
      <c r="D147" s="41">
        <v>6</v>
      </c>
      <c r="E147" s="3">
        <v>1</v>
      </c>
      <c r="F147" s="3">
        <f>IF(H147&lt;21,COUNTIF(H$6:H147,"&lt;21"),"")</f>
        <v>46</v>
      </c>
      <c r="G147" s="7" t="str">
        <f t="shared" si="60"/>
        <v>Team 7</v>
      </c>
      <c r="H147" s="343">
        <v>7</v>
      </c>
      <c r="I147" s="29" t="s">
        <v>16</v>
      </c>
      <c r="J147" s="343">
        <v>4</v>
      </c>
      <c r="K147" s="7" t="str">
        <f t="shared" si="49"/>
        <v>Team 4</v>
      </c>
      <c r="L147" s="343">
        <v>3</v>
      </c>
      <c r="M147" s="7" t="str">
        <f t="shared" si="50"/>
        <v>Team 3</v>
      </c>
      <c r="N147" s="38"/>
      <c r="O147" s="39" t="s">
        <v>0</v>
      </c>
      <c r="P147" s="38"/>
      <c r="Q147" s="38"/>
      <c r="R147" s="39" t="s">
        <v>0</v>
      </c>
      <c r="S147" s="38"/>
      <c r="T147" s="38"/>
      <c r="U147" s="39" t="s">
        <v>0</v>
      </c>
      <c r="V147" s="38"/>
      <c r="W147" s="37"/>
      <c r="X147" s="37" t="str">
        <f t="shared" si="51"/>
        <v/>
      </c>
      <c r="Y147" s="39" t="s">
        <v>0</v>
      </c>
      <c r="Z147" s="37" t="str">
        <f t="shared" si="52"/>
        <v/>
      </c>
      <c r="AA147" s="37"/>
      <c r="AB147" s="37" t="str">
        <f t="shared" si="53"/>
        <v/>
      </c>
      <c r="AC147" s="39" t="s">
        <v>0</v>
      </c>
      <c r="AD147" s="37" t="str">
        <f t="shared" si="54"/>
        <v/>
      </c>
      <c r="AE147" s="56"/>
      <c r="AF147" s="37" t="str">
        <f t="shared" si="55"/>
        <v/>
      </c>
      <c r="AG147" s="39" t="s">
        <v>0</v>
      </c>
      <c r="AH147" s="37" t="str">
        <f t="shared" si="56"/>
        <v/>
      </c>
      <c r="AJ147" s="4" t="str">
        <f t="shared" si="59"/>
        <v>Ort</v>
      </c>
    </row>
    <row r="148" spans="1:40" ht="15.75">
      <c r="A148" s="3">
        <f t="shared" si="57"/>
        <v>47</v>
      </c>
      <c r="B148" s="349" t="str">
        <f t="shared" si="58"/>
        <v>00.00.2018</v>
      </c>
      <c r="C148" s="352" t="s">
        <v>75</v>
      </c>
      <c r="D148" s="353">
        <v>7</v>
      </c>
      <c r="E148" s="354">
        <v>1</v>
      </c>
      <c r="F148" s="354">
        <f>IF(H148&lt;21,COUNTIF(H$6:H148,"&lt;21"),"")</f>
        <v>47</v>
      </c>
      <c r="G148" s="355" t="str">
        <f t="shared" si="60"/>
        <v>Team 1</v>
      </c>
      <c r="H148" s="356">
        <v>1</v>
      </c>
      <c r="I148" s="379" t="s">
        <v>16</v>
      </c>
      <c r="J148" s="356">
        <v>8</v>
      </c>
      <c r="K148" s="355" t="str">
        <f>IF(J148=21,"",INDEX($AM$7:$AN$27,J148,2))</f>
        <v>Team 8</v>
      </c>
      <c r="L148" s="356">
        <v>4</v>
      </c>
      <c r="M148" s="355" t="str">
        <f t="shared" si="50"/>
        <v>Team 4</v>
      </c>
      <c r="N148" s="357"/>
      <c r="O148" s="358" t="s">
        <v>0</v>
      </c>
      <c r="P148" s="357"/>
      <c r="Q148" s="357"/>
      <c r="R148" s="358" t="s">
        <v>0</v>
      </c>
      <c r="S148" s="357"/>
      <c r="T148" s="357"/>
      <c r="U148" s="358" t="s">
        <v>0</v>
      </c>
      <c r="V148" s="357"/>
      <c r="W148" s="359"/>
      <c r="X148" s="359" t="str">
        <f t="shared" si="51"/>
        <v/>
      </c>
      <c r="Y148" s="358" t="s">
        <v>0</v>
      </c>
      <c r="Z148" s="359" t="str">
        <f t="shared" si="52"/>
        <v/>
      </c>
      <c r="AA148" s="359"/>
      <c r="AB148" s="359" t="str">
        <f t="shared" si="53"/>
        <v/>
      </c>
      <c r="AC148" s="358" t="s">
        <v>0</v>
      </c>
      <c r="AD148" s="359" t="str">
        <f t="shared" si="54"/>
        <v/>
      </c>
      <c r="AE148" s="360"/>
      <c r="AF148" s="359" t="str">
        <f t="shared" si="55"/>
        <v/>
      </c>
      <c r="AG148" s="358" t="s">
        <v>0</v>
      </c>
      <c r="AH148" s="359" t="str">
        <f t="shared" si="56"/>
        <v/>
      </c>
      <c r="AJ148" s="4" t="str">
        <f t="shared" si="59"/>
        <v>Ort</v>
      </c>
    </row>
    <row r="149" spans="1:40" ht="15.75">
      <c r="A149" s="3">
        <f>F149</f>
        <v>48</v>
      </c>
      <c r="B149" s="349" t="str">
        <f t="shared" si="58"/>
        <v>00.00.2018</v>
      </c>
      <c r="C149" s="40" t="s">
        <v>75</v>
      </c>
      <c r="D149" s="41">
        <v>8</v>
      </c>
      <c r="E149" s="3">
        <v>1</v>
      </c>
      <c r="F149" s="3">
        <f>IF(H149&lt;21,COUNTIF(H$6:H149,"&lt;21"),"")</f>
        <v>48</v>
      </c>
      <c r="G149" s="7" t="str">
        <f>IF(H149=21,"",INDEX($AM$7:$AN$27,H149,2))</f>
        <v>Team 7</v>
      </c>
      <c r="H149" s="343">
        <v>7</v>
      </c>
      <c r="I149" s="29" t="s">
        <v>16</v>
      </c>
      <c r="J149" s="343">
        <v>3</v>
      </c>
      <c r="K149" s="7" t="str">
        <f>IF(J149=21,"",INDEX($AM$7:$AN$27,J149,2))</f>
        <v>Team 3</v>
      </c>
      <c r="L149" s="343">
        <v>1</v>
      </c>
      <c r="M149" s="7" t="str">
        <f>IF(L149=21,"",INDEX($AM$7:$AN$27,L149,2))</f>
        <v>Team 1</v>
      </c>
      <c r="N149" s="38"/>
      <c r="O149" s="39" t="s">
        <v>0</v>
      </c>
      <c r="P149" s="38"/>
      <c r="Q149" s="38"/>
      <c r="R149" s="39" t="s">
        <v>0</v>
      </c>
      <c r="S149" s="38"/>
      <c r="T149" s="38"/>
      <c r="U149" s="39" t="s">
        <v>0</v>
      </c>
      <c r="V149" s="38"/>
      <c r="W149" s="37"/>
      <c r="X149" s="37" t="str">
        <f>IF(N149+P149&gt;0,IF(AB149&gt;0,IF(AB149&gt;AD149,2,IF(AB149&lt;AD149,0,1)),0),"")</f>
        <v/>
      </c>
      <c r="Y149" s="39" t="s">
        <v>0</v>
      </c>
      <c r="Z149" s="37" t="str">
        <f>IF(N149+P149&gt;0,IF(AD149&gt;0,IF(AD149&gt;AB149,2,IF(AD149&lt;AB149,0,1)),0),"")</f>
        <v/>
      </c>
      <c r="AA149" s="37"/>
      <c r="AB149" s="37" t="str">
        <f>IF(N149+P149&gt;0,IF(N149&gt;P149,1,0)+IF(Q149&gt;S149,1,0)+IF(T149&gt;V149,1,0),"")</f>
        <v/>
      </c>
      <c r="AC149" s="39" t="s">
        <v>0</v>
      </c>
      <c r="AD149" s="37" t="str">
        <f>IF(N149+P149&gt;0,IF(N149&lt;P149,1,0)+IF(Q149&lt;S149,1,0)+IF(T149&lt;V149,1,0),"")</f>
        <v/>
      </c>
      <c r="AE149" s="56"/>
      <c r="AF149" s="37" t="str">
        <f>IF(N149+P149&gt;0,N149+Q149+T149,"")</f>
        <v/>
      </c>
      <c r="AG149" s="39" t="s">
        <v>0</v>
      </c>
      <c r="AH149" s="37" t="str">
        <f>IF(N149+P149&gt;0,P149+S149+V149,"")</f>
        <v/>
      </c>
      <c r="AJ149" s="4" t="str">
        <f t="shared" si="59"/>
        <v>Ort</v>
      </c>
    </row>
    <row r="150" spans="1:40" ht="15.75">
      <c r="A150" s="3">
        <f>F150</f>
        <v>49</v>
      </c>
      <c r="B150" s="349" t="str">
        <f t="shared" si="58"/>
        <v>00.00.2018</v>
      </c>
      <c r="C150" s="352" t="s">
        <v>75</v>
      </c>
      <c r="D150" s="353">
        <v>9</v>
      </c>
      <c r="E150" s="354">
        <v>1</v>
      </c>
      <c r="F150" s="354">
        <f>IF(H150&lt;21,COUNTIF(H$6:H150,"&lt;21"),"")</f>
        <v>49</v>
      </c>
      <c r="G150" s="355" t="str">
        <f>IF(H150=21,"",INDEX($AM$7:$AN$27,H150,2))</f>
        <v>Team 4</v>
      </c>
      <c r="H150" s="356">
        <v>4</v>
      </c>
      <c r="I150" s="379" t="s">
        <v>16</v>
      </c>
      <c r="J150" s="356">
        <v>3</v>
      </c>
      <c r="K150" s="355" t="str">
        <f>IF(J150=21,"",INDEX($AM$7:$AN$27,J150,2))</f>
        <v>Team 3</v>
      </c>
      <c r="L150" s="356">
        <v>8</v>
      </c>
      <c r="M150" s="355" t="str">
        <f>IF(L150=21,"",INDEX($AM$7:$AN$27,L150,2))</f>
        <v>Team 8</v>
      </c>
      <c r="N150" s="357"/>
      <c r="O150" s="358" t="s">
        <v>0</v>
      </c>
      <c r="P150" s="357"/>
      <c r="Q150" s="357"/>
      <c r="R150" s="358" t="s">
        <v>0</v>
      </c>
      <c r="S150" s="357"/>
      <c r="T150" s="357"/>
      <c r="U150" s="358" t="s">
        <v>0</v>
      </c>
      <c r="V150" s="357"/>
      <c r="W150" s="359"/>
      <c r="X150" s="359" t="str">
        <f>IF(N150+P150&gt;0,IF(AB150&gt;0,IF(AB150&gt;AD150,2,IF(AB150&lt;AD150,0,1)),0),"")</f>
        <v/>
      </c>
      <c r="Y150" s="358" t="s">
        <v>0</v>
      </c>
      <c r="Z150" s="359" t="str">
        <f>IF(N150+P150&gt;0,IF(AD150&gt;0,IF(AD150&gt;AB150,2,IF(AD150&lt;AB150,0,1)),0),"")</f>
        <v/>
      </c>
      <c r="AA150" s="359"/>
      <c r="AB150" s="359" t="str">
        <f>IF(N150+P150&gt;0,IF(N150&gt;P150,1,0)+IF(Q150&gt;S150,1,0)+IF(T150&gt;V150,1,0),"")</f>
        <v/>
      </c>
      <c r="AC150" s="358" t="s">
        <v>0</v>
      </c>
      <c r="AD150" s="359" t="str">
        <f>IF(N150+P150&gt;0,IF(N150&lt;P150,1,0)+IF(Q150&lt;S150,1,0)+IF(T150&lt;V150,1,0),"")</f>
        <v/>
      </c>
      <c r="AE150" s="360"/>
      <c r="AF150" s="359" t="str">
        <f>IF(N150+P150&gt;0,N150+Q150+T150,"")</f>
        <v/>
      </c>
      <c r="AG150" s="358" t="s">
        <v>0</v>
      </c>
      <c r="AH150" s="359" t="str">
        <f>IF(N150+P150&gt;0,P150+S150+V150,"")</f>
        <v/>
      </c>
      <c r="AJ150" s="4" t="str">
        <f t="shared" si="59"/>
        <v>Ort</v>
      </c>
    </row>
    <row r="151" spans="1:40" s="30" customFormat="1" ht="15.75">
      <c r="A151" s="3">
        <f>F151</f>
        <v>50</v>
      </c>
      <c r="B151" s="349" t="str">
        <f t="shared" si="58"/>
        <v>00.00.2018</v>
      </c>
      <c r="C151" s="40" t="s">
        <v>75</v>
      </c>
      <c r="D151" s="41">
        <v>10</v>
      </c>
      <c r="E151" s="3">
        <v>1</v>
      </c>
      <c r="F151" s="3">
        <f>IF(H151&lt;21,COUNTIF(H$6:H151,"&lt;21"),"")</f>
        <v>50</v>
      </c>
      <c r="G151" s="7" t="str">
        <f>IF(H151=21,"",INDEX($AM$7:$AN$27,H151,2))</f>
        <v>Team 4</v>
      </c>
      <c r="H151" s="343">
        <v>4</v>
      </c>
      <c r="I151" s="29" t="s">
        <v>16</v>
      </c>
      <c r="J151" s="343">
        <v>8</v>
      </c>
      <c r="K151" s="7" t="str">
        <f>IF(J151=21,"",INDEX($AM$7:$AN$27,J151,2))</f>
        <v>Team 8</v>
      </c>
      <c r="L151" s="343">
        <v>3</v>
      </c>
      <c r="M151" s="7" t="str">
        <f>IF(L151=21,"",INDEX($AM$7:$AN$27,L151,2))</f>
        <v>Team 3</v>
      </c>
      <c r="N151" s="38"/>
      <c r="O151" s="39" t="s">
        <v>0</v>
      </c>
      <c r="P151" s="38"/>
      <c r="Q151" s="38"/>
      <c r="R151" s="39" t="s">
        <v>0</v>
      </c>
      <c r="S151" s="38"/>
      <c r="T151" s="38"/>
      <c r="U151" s="39" t="s">
        <v>0</v>
      </c>
      <c r="V151" s="38"/>
      <c r="W151" s="37"/>
      <c r="X151" s="37" t="str">
        <f>IF(N151+P151&gt;0,IF(AB151&gt;0,IF(AB151&gt;AD151,2,IF(AB151&lt;AD151,0,1)),0),"")</f>
        <v/>
      </c>
      <c r="Y151" s="39" t="s">
        <v>0</v>
      </c>
      <c r="Z151" s="37" t="str">
        <f>IF(N151+P151&gt;0,IF(AD151&gt;0,IF(AD151&gt;AB151,2,IF(AD151&lt;AB151,0,1)),0),"")</f>
        <v/>
      </c>
      <c r="AA151" s="37"/>
      <c r="AB151" s="37" t="str">
        <f>IF(N151+P151&gt;0,IF(N151&gt;P151,1,0)+IF(Q151&gt;S151,1,0)+IF(T151&gt;V151,1,0),"")</f>
        <v/>
      </c>
      <c r="AC151" s="39" t="s">
        <v>0</v>
      </c>
      <c r="AD151" s="37" t="str">
        <f>IF(N151+P151&gt;0,IF(N151&lt;P151,1,0)+IF(Q151&lt;S151,1,0)+IF(T151&lt;V151,1,0),"")</f>
        <v/>
      </c>
      <c r="AE151" s="56"/>
      <c r="AF151" s="37" t="str">
        <f>IF(N151+P151&gt;0,N151+Q151+T151,"")</f>
        <v/>
      </c>
      <c r="AG151" s="39" t="s">
        <v>0</v>
      </c>
      <c r="AH151" s="37" t="str">
        <f>IF(N151+P151&gt;0,P151+S151+V151,"")</f>
        <v/>
      </c>
      <c r="AJ151" s="4" t="str">
        <f t="shared" si="59"/>
        <v>Ort</v>
      </c>
      <c r="AM151" s="4"/>
      <c r="AN151" s="4"/>
    </row>
    <row r="152" spans="1:40" ht="15.75">
      <c r="A152" s="3">
        <f t="shared" si="57"/>
        <v>51</v>
      </c>
      <c r="B152" s="349" t="str">
        <f t="shared" si="58"/>
        <v>00.00.2018</v>
      </c>
      <c r="C152" s="352" t="s">
        <v>75</v>
      </c>
      <c r="D152" s="353">
        <v>11</v>
      </c>
      <c r="E152" s="354">
        <v>1</v>
      </c>
      <c r="F152" s="354">
        <f>IF(H152&lt;21,COUNTIF(H$6:H152,"&lt;21"),"")</f>
        <v>51</v>
      </c>
      <c r="G152" s="355" t="str">
        <f t="shared" si="60"/>
        <v>Team 3</v>
      </c>
      <c r="H152" s="356">
        <v>3</v>
      </c>
      <c r="I152" s="379" t="s">
        <v>16</v>
      </c>
      <c r="J152" s="356">
        <v>8</v>
      </c>
      <c r="K152" s="355" t="str">
        <f t="shared" si="49"/>
        <v>Team 8</v>
      </c>
      <c r="L152" s="356">
        <v>4</v>
      </c>
      <c r="M152" s="355" t="str">
        <f t="shared" si="50"/>
        <v>Team 4</v>
      </c>
      <c r="N152" s="357"/>
      <c r="O152" s="358" t="s">
        <v>0</v>
      </c>
      <c r="P152" s="357"/>
      <c r="Q152" s="357"/>
      <c r="R152" s="358" t="s">
        <v>0</v>
      </c>
      <c r="S152" s="357"/>
      <c r="T152" s="357"/>
      <c r="U152" s="358" t="s">
        <v>0</v>
      </c>
      <c r="V152" s="357"/>
      <c r="W152" s="359"/>
      <c r="X152" s="359" t="str">
        <f t="shared" si="51"/>
        <v/>
      </c>
      <c r="Y152" s="358" t="s">
        <v>0</v>
      </c>
      <c r="Z152" s="359" t="str">
        <f t="shared" si="52"/>
        <v/>
      </c>
      <c r="AA152" s="359"/>
      <c r="AB152" s="359" t="str">
        <f t="shared" si="53"/>
        <v/>
      </c>
      <c r="AC152" s="358" t="s">
        <v>0</v>
      </c>
      <c r="AD152" s="359" t="str">
        <f t="shared" si="54"/>
        <v/>
      </c>
      <c r="AE152" s="360"/>
      <c r="AF152" s="359" t="str">
        <f t="shared" si="55"/>
        <v/>
      </c>
      <c r="AG152" s="358" t="s">
        <v>0</v>
      </c>
      <c r="AH152" s="359" t="str">
        <f t="shared" si="56"/>
        <v/>
      </c>
      <c r="AJ152" s="4" t="str">
        <f t="shared" si="59"/>
        <v>Ort</v>
      </c>
    </row>
    <row r="153" spans="1:40" s="30" customFormat="1" ht="15.75" hidden="1">
      <c r="A153" s="3" t="str">
        <f>F153</f>
        <v/>
      </c>
      <c r="B153" s="349" t="str">
        <f t="shared" si="58"/>
        <v>00.00.2018</v>
      </c>
      <c r="C153" s="352" t="s">
        <v>75</v>
      </c>
      <c r="D153" s="353">
        <v>12</v>
      </c>
      <c r="E153" s="354">
        <v>1</v>
      </c>
      <c r="F153" s="354" t="str">
        <f>IF(H153&lt;21,COUNTIF(H$6:H153,"&lt;21"),"")</f>
        <v/>
      </c>
      <c r="G153" s="7" t="str">
        <f>IF(H153=21,"",INDEX($AM$7:$AN$27,H153,2))</f>
        <v/>
      </c>
      <c r="H153" s="348">
        <v>21</v>
      </c>
      <c r="I153" s="29" t="s">
        <v>16</v>
      </c>
      <c r="J153" s="348">
        <v>21</v>
      </c>
      <c r="K153" s="7" t="str">
        <f>IF(J153=21,"",INDEX($AM$7:$AN$27,J153,2))</f>
        <v/>
      </c>
      <c r="L153" s="348">
        <v>21</v>
      </c>
      <c r="M153" s="355" t="str">
        <f>IF(L153=21,"",INDEX($AM$7:$AN$27,L153,2))</f>
        <v/>
      </c>
      <c r="N153" s="357"/>
      <c r="O153" s="358" t="s">
        <v>0</v>
      </c>
      <c r="P153" s="357"/>
      <c r="Q153" s="357"/>
      <c r="R153" s="358" t="s">
        <v>0</v>
      </c>
      <c r="S153" s="357"/>
      <c r="T153" s="357"/>
      <c r="U153" s="358" t="s">
        <v>0</v>
      </c>
      <c r="V153" s="357"/>
      <c r="W153" s="359"/>
      <c r="X153" s="359" t="str">
        <f>IF(N153+P153&gt;0,IF(AB153&gt;0,IF(AB153&gt;AD153,2,IF(AB153&lt;AD153,0,1)),0),"")</f>
        <v/>
      </c>
      <c r="Y153" s="358" t="s">
        <v>0</v>
      </c>
      <c r="Z153" s="359" t="str">
        <f>IF(N153+P153&gt;0,IF(AD153&gt;0,IF(AD153&gt;AB153,2,IF(AD153&lt;AB153,0,1)),0),"")</f>
        <v/>
      </c>
      <c r="AA153" s="359"/>
      <c r="AB153" s="359" t="str">
        <f>IF(N153+P153&gt;0,IF(N153&gt;P153,1,0)+IF(Q153&gt;S153,1,0)+IF(T153&gt;V153,1,0),"")</f>
        <v/>
      </c>
      <c r="AC153" s="358" t="s">
        <v>0</v>
      </c>
      <c r="AD153" s="359" t="str">
        <f>IF(N153+P153&gt;0,IF(N153&lt;P153,1,0)+IF(Q153&lt;S153,1,0)+IF(T153&lt;V153,1,0),"")</f>
        <v/>
      </c>
      <c r="AE153" s="360"/>
      <c r="AF153" s="359" t="str">
        <f>IF(N153+P153&gt;0,N153+Q153+T153,"")</f>
        <v/>
      </c>
      <c r="AG153" s="358" t="s">
        <v>0</v>
      </c>
      <c r="AH153" s="359" t="str">
        <f>IF(N153+P153&gt;0,P153+S153+V153,"")</f>
        <v/>
      </c>
      <c r="AJ153" s="4" t="str">
        <f t="shared" si="59"/>
        <v>Ort</v>
      </c>
    </row>
    <row r="154" spans="1:40" ht="15.75" hidden="1">
      <c r="A154" s="3" t="str">
        <f t="shared" si="57"/>
        <v/>
      </c>
      <c r="B154" s="349" t="str">
        <f t="shared" si="58"/>
        <v>00.00.2018</v>
      </c>
      <c r="C154" s="40" t="s">
        <v>75</v>
      </c>
      <c r="D154" s="41">
        <v>13</v>
      </c>
      <c r="E154" s="3">
        <v>1</v>
      </c>
      <c r="F154" s="354" t="str">
        <f>IF(H154&lt;21,COUNTIF(H$6:H154,"&lt;21"),"")</f>
        <v/>
      </c>
      <c r="G154" s="7" t="str">
        <f t="shared" si="60"/>
        <v/>
      </c>
      <c r="H154" s="361">
        <v>21</v>
      </c>
      <c r="I154" s="29" t="s">
        <v>16</v>
      </c>
      <c r="J154" s="361">
        <v>21</v>
      </c>
      <c r="K154" s="7" t="str">
        <f t="shared" si="49"/>
        <v/>
      </c>
      <c r="L154" s="361">
        <v>21</v>
      </c>
      <c r="M154" s="7" t="str">
        <f t="shared" si="50"/>
        <v/>
      </c>
      <c r="N154" s="38"/>
      <c r="O154" s="39" t="s">
        <v>0</v>
      </c>
      <c r="P154" s="38"/>
      <c r="Q154" s="38"/>
      <c r="R154" s="39" t="s">
        <v>0</v>
      </c>
      <c r="S154" s="38"/>
      <c r="T154" s="38"/>
      <c r="U154" s="39" t="s">
        <v>0</v>
      </c>
      <c r="V154" s="38"/>
      <c r="W154" s="37"/>
      <c r="X154" s="37" t="str">
        <f t="shared" si="51"/>
        <v/>
      </c>
      <c r="Y154" s="39" t="s">
        <v>0</v>
      </c>
      <c r="Z154" s="37" t="str">
        <f t="shared" si="52"/>
        <v/>
      </c>
      <c r="AA154" s="37"/>
      <c r="AB154" s="37" t="str">
        <f t="shared" si="53"/>
        <v/>
      </c>
      <c r="AC154" s="39" t="s">
        <v>0</v>
      </c>
      <c r="AD154" s="37" t="str">
        <f t="shared" si="54"/>
        <v/>
      </c>
      <c r="AE154" s="56"/>
      <c r="AF154" s="37" t="str">
        <f t="shared" si="55"/>
        <v/>
      </c>
      <c r="AG154" s="39" t="s">
        <v>0</v>
      </c>
      <c r="AH154" s="37" t="str">
        <f t="shared" si="56"/>
        <v/>
      </c>
      <c r="AJ154" s="4" t="str">
        <f t="shared" si="59"/>
        <v>Ort</v>
      </c>
    </row>
    <row r="155" spans="1:40" ht="15.75" hidden="1">
      <c r="A155" s="3" t="str">
        <f t="shared" si="57"/>
        <v/>
      </c>
      <c r="B155" s="349" t="str">
        <f t="shared" si="58"/>
        <v>00.00.2018</v>
      </c>
      <c r="C155" s="40" t="s">
        <v>75</v>
      </c>
      <c r="D155" s="41">
        <v>14</v>
      </c>
      <c r="E155" s="3">
        <v>1</v>
      </c>
      <c r="F155" s="354" t="str">
        <f>IF(H155&lt;21,COUNTIF(H$6:H155,"&lt;21"),"")</f>
        <v/>
      </c>
      <c r="G155" s="7" t="str">
        <f t="shared" si="60"/>
        <v/>
      </c>
      <c r="H155" s="348">
        <v>21</v>
      </c>
      <c r="I155" s="29" t="s">
        <v>16</v>
      </c>
      <c r="J155" s="348">
        <v>21</v>
      </c>
      <c r="K155" s="7" t="str">
        <f t="shared" si="49"/>
        <v/>
      </c>
      <c r="L155" s="348">
        <v>21</v>
      </c>
      <c r="M155" s="7" t="str">
        <f t="shared" si="50"/>
        <v/>
      </c>
      <c r="N155" s="38"/>
      <c r="O155" s="39" t="s">
        <v>0</v>
      </c>
      <c r="P155" s="38"/>
      <c r="Q155" s="38"/>
      <c r="R155" s="39" t="s">
        <v>0</v>
      </c>
      <c r="S155" s="38"/>
      <c r="T155" s="38"/>
      <c r="U155" s="39" t="s">
        <v>0</v>
      </c>
      <c r="V155" s="38"/>
      <c r="W155" s="37"/>
      <c r="X155" s="37" t="str">
        <f t="shared" si="51"/>
        <v/>
      </c>
      <c r="Y155" s="39" t="s">
        <v>0</v>
      </c>
      <c r="Z155" s="37" t="str">
        <f t="shared" si="52"/>
        <v/>
      </c>
      <c r="AA155" s="37"/>
      <c r="AB155" s="37" t="str">
        <f t="shared" si="53"/>
        <v/>
      </c>
      <c r="AC155" s="39" t="s">
        <v>0</v>
      </c>
      <c r="AD155" s="37" t="str">
        <f t="shared" si="54"/>
        <v/>
      </c>
      <c r="AE155" s="56"/>
      <c r="AF155" s="37" t="str">
        <f t="shared" si="55"/>
        <v/>
      </c>
      <c r="AG155" s="39" t="s">
        <v>0</v>
      </c>
      <c r="AH155" s="37" t="str">
        <f t="shared" si="56"/>
        <v/>
      </c>
      <c r="AJ155" s="4" t="str">
        <f t="shared" si="59"/>
        <v>Ort</v>
      </c>
    </row>
    <row r="156" spans="1:40" ht="15.75" hidden="1">
      <c r="A156" s="3" t="str">
        <f t="shared" si="57"/>
        <v/>
      </c>
      <c r="B156" s="349" t="str">
        <f t="shared" si="58"/>
        <v>00.00.2018</v>
      </c>
      <c r="C156" s="352" t="s">
        <v>75</v>
      </c>
      <c r="D156" s="353">
        <v>15</v>
      </c>
      <c r="E156" s="354">
        <v>1</v>
      </c>
      <c r="F156" s="354" t="str">
        <f>IF(H156&lt;21,COUNTIF(H$6:H156,"&lt;21"),"")</f>
        <v/>
      </c>
      <c r="G156" s="7" t="str">
        <f t="shared" si="60"/>
        <v/>
      </c>
      <c r="H156" s="361">
        <v>21</v>
      </c>
      <c r="I156" s="29" t="s">
        <v>16</v>
      </c>
      <c r="J156" s="361">
        <v>21</v>
      </c>
      <c r="K156" s="7" t="str">
        <f t="shared" si="49"/>
        <v/>
      </c>
      <c r="L156" s="361">
        <v>21</v>
      </c>
      <c r="M156" s="355" t="str">
        <f t="shared" si="50"/>
        <v/>
      </c>
      <c r="N156" s="357"/>
      <c r="O156" s="358" t="s">
        <v>0</v>
      </c>
      <c r="P156" s="357"/>
      <c r="Q156" s="357"/>
      <c r="R156" s="358" t="s">
        <v>0</v>
      </c>
      <c r="S156" s="357"/>
      <c r="T156" s="357"/>
      <c r="U156" s="358" t="s">
        <v>0</v>
      </c>
      <c r="V156" s="357"/>
      <c r="W156" s="359"/>
      <c r="X156" s="359" t="str">
        <f t="shared" si="51"/>
        <v/>
      </c>
      <c r="Y156" s="358" t="s">
        <v>0</v>
      </c>
      <c r="Z156" s="359" t="str">
        <f t="shared" si="52"/>
        <v/>
      </c>
      <c r="AA156" s="359"/>
      <c r="AB156" s="359" t="str">
        <f t="shared" si="53"/>
        <v/>
      </c>
      <c r="AC156" s="358" t="s">
        <v>0</v>
      </c>
      <c r="AD156" s="359" t="str">
        <f t="shared" si="54"/>
        <v/>
      </c>
      <c r="AE156" s="360"/>
      <c r="AF156" s="359" t="str">
        <f t="shared" si="55"/>
        <v/>
      </c>
      <c r="AG156" s="358" t="s">
        <v>0</v>
      </c>
      <c r="AH156" s="359" t="str">
        <f t="shared" si="56"/>
        <v/>
      </c>
      <c r="AJ156" s="4" t="str">
        <f t="shared" si="59"/>
        <v>Ort</v>
      </c>
    </row>
    <row r="157" spans="1:40" ht="15.75" hidden="1">
      <c r="A157" s="3" t="str">
        <f t="shared" si="57"/>
        <v/>
      </c>
      <c r="B157" s="349" t="str">
        <f t="shared" si="58"/>
        <v>00.00.2018</v>
      </c>
      <c r="C157" s="40" t="s">
        <v>75</v>
      </c>
      <c r="D157" s="41">
        <v>16</v>
      </c>
      <c r="E157" s="3">
        <v>1</v>
      </c>
      <c r="F157" s="354" t="str">
        <f>IF(H157&lt;21,COUNTIF(H$6:H157,"&lt;21"),"")</f>
        <v/>
      </c>
      <c r="G157" s="7" t="str">
        <f t="shared" si="60"/>
        <v/>
      </c>
      <c r="H157" s="348">
        <v>21</v>
      </c>
      <c r="I157" s="29" t="s">
        <v>16</v>
      </c>
      <c r="J157" s="348">
        <v>21</v>
      </c>
      <c r="K157" s="7" t="str">
        <f t="shared" si="49"/>
        <v/>
      </c>
      <c r="L157" s="348">
        <v>21</v>
      </c>
      <c r="M157" s="7" t="str">
        <f t="shared" si="50"/>
        <v/>
      </c>
      <c r="N157" s="38"/>
      <c r="O157" s="39" t="s">
        <v>0</v>
      </c>
      <c r="P157" s="38"/>
      <c r="Q157" s="38"/>
      <c r="R157" s="39" t="s">
        <v>0</v>
      </c>
      <c r="S157" s="38"/>
      <c r="T157" s="38"/>
      <c r="U157" s="39" t="s">
        <v>0</v>
      </c>
      <c r="V157" s="38"/>
      <c r="W157" s="37"/>
      <c r="X157" s="37" t="str">
        <f t="shared" si="51"/>
        <v/>
      </c>
      <c r="Y157" s="39" t="s">
        <v>0</v>
      </c>
      <c r="Z157" s="37" t="str">
        <f t="shared" si="52"/>
        <v/>
      </c>
      <c r="AA157" s="37"/>
      <c r="AB157" s="37" t="str">
        <f t="shared" si="53"/>
        <v/>
      </c>
      <c r="AC157" s="39" t="s">
        <v>0</v>
      </c>
      <c r="AD157" s="37" t="str">
        <f t="shared" si="54"/>
        <v/>
      </c>
      <c r="AE157" s="56"/>
      <c r="AF157" s="37" t="str">
        <f t="shared" si="55"/>
        <v/>
      </c>
      <c r="AG157" s="39" t="s">
        <v>0</v>
      </c>
      <c r="AH157" s="37" t="str">
        <f t="shared" si="56"/>
        <v/>
      </c>
      <c r="AJ157" s="4" t="str">
        <f t="shared" si="59"/>
        <v>Ort</v>
      </c>
      <c r="AM157" s="30"/>
      <c r="AN157" s="30"/>
    </row>
    <row r="158" spans="1:40" ht="15.75" hidden="1">
      <c r="A158" s="3" t="str">
        <f t="shared" si="57"/>
        <v/>
      </c>
      <c r="B158" s="349" t="str">
        <f t="shared" si="58"/>
        <v>00.00.2018</v>
      </c>
      <c r="C158" s="40" t="s">
        <v>75</v>
      </c>
      <c r="D158" s="41"/>
      <c r="E158" s="3">
        <v>1</v>
      </c>
      <c r="F158" s="354" t="str">
        <f>IF(H158&lt;21,COUNTIF(H$6:H158,"&lt;21"),"")</f>
        <v/>
      </c>
      <c r="G158" s="7" t="str">
        <f t="shared" si="60"/>
        <v/>
      </c>
      <c r="H158" s="348">
        <v>21</v>
      </c>
      <c r="I158" s="29" t="s">
        <v>16</v>
      </c>
      <c r="J158" s="348">
        <v>21</v>
      </c>
      <c r="K158" s="7" t="str">
        <f t="shared" si="49"/>
        <v/>
      </c>
      <c r="L158" s="361">
        <v>21</v>
      </c>
      <c r="M158" s="7" t="str">
        <f t="shared" si="50"/>
        <v/>
      </c>
      <c r="N158" s="38"/>
      <c r="O158" s="39" t="s">
        <v>0</v>
      </c>
      <c r="P158" s="38"/>
      <c r="Q158" s="38"/>
      <c r="R158" s="39" t="s">
        <v>0</v>
      </c>
      <c r="S158" s="38"/>
      <c r="T158" s="38"/>
      <c r="U158" s="39" t="s">
        <v>0</v>
      </c>
      <c r="V158" s="38"/>
      <c r="W158" s="37"/>
      <c r="X158" s="37" t="str">
        <f t="shared" si="51"/>
        <v/>
      </c>
      <c r="Y158" s="39" t="s">
        <v>0</v>
      </c>
      <c r="Z158" s="37" t="str">
        <f t="shared" si="52"/>
        <v/>
      </c>
      <c r="AA158" s="37"/>
      <c r="AB158" s="37" t="str">
        <f t="shared" si="53"/>
        <v/>
      </c>
      <c r="AC158" s="39" t="s">
        <v>0</v>
      </c>
      <c r="AD158" s="37" t="str">
        <f t="shared" si="54"/>
        <v/>
      </c>
      <c r="AE158" s="56"/>
      <c r="AF158" s="37" t="str">
        <f t="shared" si="55"/>
        <v/>
      </c>
      <c r="AG158" s="39" t="s">
        <v>0</v>
      </c>
      <c r="AH158" s="37" t="str">
        <f t="shared" si="56"/>
        <v/>
      </c>
      <c r="AJ158" s="4" t="str">
        <f t="shared" si="59"/>
        <v>Ort</v>
      </c>
    </row>
    <row r="159" spans="1:40" ht="15.75" hidden="1">
      <c r="A159" s="3" t="str">
        <f t="shared" si="57"/>
        <v/>
      </c>
      <c r="B159" s="349" t="str">
        <f t="shared" si="58"/>
        <v>00.00.2018</v>
      </c>
      <c r="C159" s="40" t="s">
        <v>75</v>
      </c>
      <c r="D159" s="41"/>
      <c r="E159" s="3">
        <v>1</v>
      </c>
      <c r="F159" s="354" t="str">
        <f>IF(H159&lt;21,COUNTIF(H$6:H159,"&lt;21"),"")</f>
        <v/>
      </c>
      <c r="G159" s="7" t="str">
        <f t="shared" si="60"/>
        <v/>
      </c>
      <c r="H159" s="348">
        <v>21</v>
      </c>
      <c r="I159" s="29" t="s">
        <v>16</v>
      </c>
      <c r="J159" s="348">
        <v>21</v>
      </c>
      <c r="K159" s="7" t="str">
        <f t="shared" si="49"/>
        <v/>
      </c>
      <c r="L159" s="348">
        <v>21</v>
      </c>
      <c r="M159" s="7" t="str">
        <f t="shared" si="50"/>
        <v/>
      </c>
      <c r="N159" s="38"/>
      <c r="O159" s="39" t="s">
        <v>0</v>
      </c>
      <c r="P159" s="38"/>
      <c r="Q159" s="38"/>
      <c r="R159" s="39" t="s">
        <v>0</v>
      </c>
      <c r="S159" s="38"/>
      <c r="T159" s="38"/>
      <c r="U159" s="39" t="s">
        <v>0</v>
      </c>
      <c r="V159" s="38"/>
      <c r="W159" s="37"/>
      <c r="X159" s="37" t="str">
        <f t="shared" si="51"/>
        <v/>
      </c>
      <c r="Y159" s="39" t="s">
        <v>0</v>
      </c>
      <c r="Z159" s="37" t="str">
        <f t="shared" si="52"/>
        <v/>
      </c>
      <c r="AA159" s="37"/>
      <c r="AB159" s="37" t="str">
        <f t="shared" si="53"/>
        <v/>
      </c>
      <c r="AC159" s="39" t="s">
        <v>0</v>
      </c>
      <c r="AD159" s="37" t="str">
        <f t="shared" si="54"/>
        <v/>
      </c>
      <c r="AE159" s="56"/>
      <c r="AF159" s="37" t="str">
        <f t="shared" si="55"/>
        <v/>
      </c>
      <c r="AG159" s="39" t="s">
        <v>0</v>
      </c>
      <c r="AH159" s="37" t="str">
        <f t="shared" si="56"/>
        <v/>
      </c>
      <c r="AJ159" s="4" t="str">
        <f t="shared" si="59"/>
        <v>Ort</v>
      </c>
    </row>
    <row r="160" spans="1:40" ht="15.75" hidden="1">
      <c r="A160" s="3" t="str">
        <f t="shared" si="57"/>
        <v/>
      </c>
      <c r="B160" s="349" t="str">
        <f t="shared" si="58"/>
        <v>00.00.2018</v>
      </c>
      <c r="C160" s="40" t="s">
        <v>75</v>
      </c>
      <c r="D160" s="41"/>
      <c r="E160" s="3">
        <v>1</v>
      </c>
      <c r="F160" s="354" t="str">
        <f>IF(H160&lt;21,COUNTIF(H$6:H160,"&lt;21"),"")</f>
        <v/>
      </c>
      <c r="G160" s="7" t="str">
        <f t="shared" si="60"/>
        <v/>
      </c>
      <c r="H160" s="348">
        <v>21</v>
      </c>
      <c r="I160" s="29" t="s">
        <v>16</v>
      </c>
      <c r="J160" s="348">
        <v>21</v>
      </c>
      <c r="K160" s="7" t="str">
        <f t="shared" si="49"/>
        <v/>
      </c>
      <c r="L160" s="348">
        <v>21</v>
      </c>
      <c r="M160" s="7" t="str">
        <f t="shared" si="50"/>
        <v/>
      </c>
      <c r="N160" s="38"/>
      <c r="O160" s="39" t="s">
        <v>0</v>
      </c>
      <c r="P160" s="38"/>
      <c r="Q160" s="38"/>
      <c r="R160" s="39" t="s">
        <v>0</v>
      </c>
      <c r="S160" s="38"/>
      <c r="T160" s="38"/>
      <c r="U160" s="39" t="s">
        <v>0</v>
      </c>
      <c r="V160" s="38"/>
      <c r="W160" s="37"/>
      <c r="X160" s="37" t="str">
        <f t="shared" si="51"/>
        <v/>
      </c>
      <c r="Y160" s="39" t="s">
        <v>0</v>
      </c>
      <c r="Z160" s="37" t="str">
        <f t="shared" si="52"/>
        <v/>
      </c>
      <c r="AA160" s="37"/>
      <c r="AB160" s="37" t="str">
        <f t="shared" si="53"/>
        <v/>
      </c>
      <c r="AC160" s="39" t="s">
        <v>0</v>
      </c>
      <c r="AD160" s="37" t="str">
        <f t="shared" si="54"/>
        <v/>
      </c>
      <c r="AE160" s="56"/>
      <c r="AF160" s="37" t="str">
        <f t="shared" si="55"/>
        <v/>
      </c>
      <c r="AG160" s="39" t="s">
        <v>0</v>
      </c>
      <c r="AH160" s="37" t="str">
        <f t="shared" si="56"/>
        <v/>
      </c>
      <c r="AJ160" s="4" t="str">
        <f t="shared" si="59"/>
        <v>Ort</v>
      </c>
    </row>
    <row r="161" spans="1:73" ht="15.75" hidden="1">
      <c r="A161" s="3" t="str">
        <f t="shared" si="57"/>
        <v/>
      </c>
      <c r="B161" s="349" t="str">
        <f t="shared" si="58"/>
        <v>00.00.2018</v>
      </c>
      <c r="C161" s="40" t="s">
        <v>75</v>
      </c>
      <c r="D161" s="41"/>
      <c r="E161" s="3">
        <v>1</v>
      </c>
      <c r="F161" s="354" t="str">
        <f>IF(H161&lt;21,COUNTIF(H$6:H161,"&lt;21"),"")</f>
        <v/>
      </c>
      <c r="G161" s="7" t="str">
        <f t="shared" si="60"/>
        <v/>
      </c>
      <c r="H161" s="348">
        <v>21</v>
      </c>
      <c r="I161" s="29" t="s">
        <v>16</v>
      </c>
      <c r="J161" s="348">
        <v>21</v>
      </c>
      <c r="K161" s="7" t="str">
        <f t="shared" si="49"/>
        <v/>
      </c>
      <c r="L161" s="348">
        <v>21</v>
      </c>
      <c r="M161" s="7" t="str">
        <f t="shared" si="50"/>
        <v/>
      </c>
      <c r="N161" s="38"/>
      <c r="O161" s="39" t="s">
        <v>0</v>
      </c>
      <c r="P161" s="38"/>
      <c r="Q161" s="38"/>
      <c r="R161" s="39" t="s">
        <v>0</v>
      </c>
      <c r="S161" s="38"/>
      <c r="T161" s="38"/>
      <c r="U161" s="39" t="s">
        <v>0</v>
      </c>
      <c r="V161" s="38"/>
      <c r="W161" s="37"/>
      <c r="X161" s="37" t="str">
        <f t="shared" si="51"/>
        <v/>
      </c>
      <c r="Y161" s="39" t="s">
        <v>0</v>
      </c>
      <c r="Z161" s="37" t="str">
        <f t="shared" si="52"/>
        <v/>
      </c>
      <c r="AA161" s="37"/>
      <c r="AB161" s="37" t="str">
        <f t="shared" si="53"/>
        <v/>
      </c>
      <c r="AC161" s="39" t="s">
        <v>0</v>
      </c>
      <c r="AD161" s="37" t="str">
        <f t="shared" si="54"/>
        <v/>
      </c>
      <c r="AE161" s="56"/>
      <c r="AF161" s="37" t="str">
        <f t="shared" si="55"/>
        <v/>
      </c>
      <c r="AG161" s="39" t="s">
        <v>0</v>
      </c>
      <c r="AH161" s="37" t="str">
        <f t="shared" si="56"/>
        <v/>
      </c>
      <c r="AJ161" s="4" t="str">
        <f t="shared" si="59"/>
        <v>Ort</v>
      </c>
    </row>
    <row r="162" spans="1:73" ht="15.75" hidden="1">
      <c r="A162" s="3" t="str">
        <f t="shared" si="57"/>
        <v/>
      </c>
      <c r="B162" s="349" t="str">
        <f t="shared" si="58"/>
        <v>00.00.2018</v>
      </c>
      <c r="C162" s="40" t="s">
        <v>75</v>
      </c>
      <c r="D162" s="41"/>
      <c r="E162" s="3">
        <v>1</v>
      </c>
      <c r="F162" s="354" t="str">
        <f>IF(H162&lt;21,COUNTIF(H$6:H162,"&lt;21"),"")</f>
        <v/>
      </c>
      <c r="G162" s="7" t="str">
        <f t="shared" si="60"/>
        <v/>
      </c>
      <c r="H162" s="348">
        <v>21</v>
      </c>
      <c r="I162" s="29" t="s">
        <v>16</v>
      </c>
      <c r="J162" s="348">
        <v>21</v>
      </c>
      <c r="K162" s="7" t="str">
        <f t="shared" si="49"/>
        <v/>
      </c>
      <c r="L162" s="348">
        <v>21</v>
      </c>
      <c r="M162" s="7" t="str">
        <f t="shared" si="50"/>
        <v/>
      </c>
      <c r="N162" s="38"/>
      <c r="O162" s="39" t="s">
        <v>0</v>
      </c>
      <c r="P162" s="38"/>
      <c r="Q162" s="38"/>
      <c r="R162" s="39" t="s">
        <v>0</v>
      </c>
      <c r="S162" s="38"/>
      <c r="T162" s="38"/>
      <c r="U162" s="39" t="s">
        <v>0</v>
      </c>
      <c r="V162" s="38"/>
      <c r="W162" s="37"/>
      <c r="X162" s="37" t="str">
        <f t="shared" si="51"/>
        <v/>
      </c>
      <c r="Y162" s="39" t="s">
        <v>0</v>
      </c>
      <c r="Z162" s="37" t="str">
        <f t="shared" si="52"/>
        <v/>
      </c>
      <c r="AA162" s="37"/>
      <c r="AB162" s="37" t="str">
        <f t="shared" si="53"/>
        <v/>
      </c>
      <c r="AC162" s="39" t="s">
        <v>0</v>
      </c>
      <c r="AD162" s="37" t="str">
        <f t="shared" si="54"/>
        <v/>
      </c>
      <c r="AE162" s="56"/>
      <c r="AF162" s="37" t="str">
        <f t="shared" si="55"/>
        <v/>
      </c>
      <c r="AG162" s="39" t="s">
        <v>0</v>
      </c>
      <c r="AH162" s="37" t="str">
        <f t="shared" si="56"/>
        <v/>
      </c>
      <c r="AJ162" s="4" t="str">
        <f t="shared" si="59"/>
        <v>Ort</v>
      </c>
    </row>
    <row r="163" spans="1:73" ht="15.75" hidden="1">
      <c r="A163" s="3" t="str">
        <f t="shared" si="57"/>
        <v/>
      </c>
      <c r="B163" s="349" t="str">
        <f t="shared" si="58"/>
        <v>00.00.2018</v>
      </c>
      <c r="C163" s="40" t="s">
        <v>75</v>
      </c>
      <c r="D163" s="41"/>
      <c r="E163" s="3">
        <v>1</v>
      </c>
      <c r="F163" s="354" t="str">
        <f>IF(H163&lt;21,COUNTIF(H$6:H163,"&lt;21"),"")</f>
        <v/>
      </c>
      <c r="G163" s="7" t="str">
        <f t="shared" si="60"/>
        <v/>
      </c>
      <c r="H163" s="348">
        <v>21</v>
      </c>
      <c r="I163" s="29" t="s">
        <v>16</v>
      </c>
      <c r="J163" s="348">
        <v>21</v>
      </c>
      <c r="K163" s="7" t="str">
        <f t="shared" si="49"/>
        <v/>
      </c>
      <c r="L163" s="348">
        <v>21</v>
      </c>
      <c r="M163" s="7" t="str">
        <f t="shared" si="50"/>
        <v/>
      </c>
      <c r="N163" s="38"/>
      <c r="O163" s="39" t="s">
        <v>0</v>
      </c>
      <c r="P163" s="38"/>
      <c r="Q163" s="38"/>
      <c r="R163" s="39" t="s">
        <v>0</v>
      </c>
      <c r="S163" s="38"/>
      <c r="T163" s="38"/>
      <c r="U163" s="39" t="s">
        <v>0</v>
      </c>
      <c r="V163" s="38"/>
      <c r="W163" s="37"/>
      <c r="X163" s="37" t="str">
        <f t="shared" si="51"/>
        <v/>
      </c>
      <c r="Y163" s="39" t="s">
        <v>0</v>
      </c>
      <c r="Z163" s="37" t="str">
        <f t="shared" si="52"/>
        <v/>
      </c>
      <c r="AA163" s="37"/>
      <c r="AB163" s="37" t="str">
        <f t="shared" si="53"/>
        <v/>
      </c>
      <c r="AC163" s="39" t="s">
        <v>0</v>
      </c>
      <c r="AD163" s="37" t="str">
        <f t="shared" si="54"/>
        <v/>
      </c>
      <c r="AE163" s="56"/>
      <c r="AF163" s="37" t="str">
        <f t="shared" si="55"/>
        <v/>
      </c>
      <c r="AG163" s="39" t="s">
        <v>0</v>
      </c>
      <c r="AH163" s="37" t="str">
        <f t="shared" si="56"/>
        <v/>
      </c>
      <c r="AJ163" s="4" t="str">
        <f t="shared" si="59"/>
        <v>Ort</v>
      </c>
    </row>
    <row r="164" spans="1:73" ht="15.75" hidden="1">
      <c r="A164" s="3" t="str">
        <f t="shared" si="57"/>
        <v/>
      </c>
      <c r="B164" s="349" t="str">
        <f t="shared" si="58"/>
        <v>00.00.2018</v>
      </c>
      <c r="C164" s="40" t="s">
        <v>75</v>
      </c>
      <c r="D164" s="41"/>
      <c r="E164" s="3">
        <v>1</v>
      </c>
      <c r="F164" s="354" t="str">
        <f>IF(H164&lt;21,COUNTIF(H$6:H164,"&lt;21"),"")</f>
        <v/>
      </c>
      <c r="G164" s="7" t="str">
        <f t="shared" si="60"/>
        <v/>
      </c>
      <c r="H164" s="348">
        <v>21</v>
      </c>
      <c r="I164" s="29" t="s">
        <v>16</v>
      </c>
      <c r="J164" s="348">
        <v>21</v>
      </c>
      <c r="K164" s="7" t="str">
        <f t="shared" si="49"/>
        <v/>
      </c>
      <c r="L164" s="348">
        <v>21</v>
      </c>
      <c r="M164" s="7" t="str">
        <f t="shared" si="50"/>
        <v/>
      </c>
      <c r="N164" s="38"/>
      <c r="O164" s="39" t="s">
        <v>0</v>
      </c>
      <c r="P164" s="38"/>
      <c r="Q164" s="38"/>
      <c r="R164" s="39" t="s">
        <v>0</v>
      </c>
      <c r="S164" s="38"/>
      <c r="T164" s="38"/>
      <c r="U164" s="39" t="s">
        <v>0</v>
      </c>
      <c r="V164" s="38"/>
      <c r="W164" s="37"/>
      <c r="X164" s="37" t="str">
        <f t="shared" si="51"/>
        <v/>
      </c>
      <c r="Y164" s="39" t="s">
        <v>0</v>
      </c>
      <c r="Z164" s="37" t="str">
        <f t="shared" si="52"/>
        <v/>
      </c>
      <c r="AA164" s="37"/>
      <c r="AB164" s="37" t="str">
        <f t="shared" si="53"/>
        <v/>
      </c>
      <c r="AC164" s="39" t="s">
        <v>0</v>
      </c>
      <c r="AD164" s="37" t="str">
        <f t="shared" si="54"/>
        <v/>
      </c>
      <c r="AE164" s="56"/>
      <c r="AF164" s="37" t="str">
        <f t="shared" si="55"/>
        <v/>
      </c>
      <c r="AG164" s="39" t="s">
        <v>0</v>
      </c>
      <c r="AH164" s="37" t="str">
        <f t="shared" si="56"/>
        <v/>
      </c>
      <c r="AJ164" s="4" t="str">
        <f t="shared" si="59"/>
        <v>Ort</v>
      </c>
    </row>
    <row r="165" spans="1:73" ht="15.75" hidden="1">
      <c r="A165" s="3" t="str">
        <f t="shared" si="57"/>
        <v/>
      </c>
      <c r="B165" s="349" t="str">
        <f t="shared" si="58"/>
        <v>00.00.2018</v>
      </c>
      <c r="C165" s="40" t="s">
        <v>75</v>
      </c>
      <c r="D165" s="41"/>
      <c r="E165" s="3">
        <v>1</v>
      </c>
      <c r="F165" s="354" t="str">
        <f>IF(H165&lt;21,COUNTIF(H$6:H165,"&lt;21"),"")</f>
        <v/>
      </c>
      <c r="G165" s="7" t="str">
        <f t="shared" si="60"/>
        <v/>
      </c>
      <c r="H165" s="348">
        <v>21</v>
      </c>
      <c r="I165" s="29" t="s">
        <v>16</v>
      </c>
      <c r="J165" s="348">
        <v>21</v>
      </c>
      <c r="K165" s="7" t="str">
        <f t="shared" si="49"/>
        <v/>
      </c>
      <c r="L165" s="348">
        <v>21</v>
      </c>
      <c r="M165" s="7" t="str">
        <f t="shared" si="50"/>
        <v/>
      </c>
      <c r="N165" s="38"/>
      <c r="O165" s="39" t="s">
        <v>0</v>
      </c>
      <c r="P165" s="38"/>
      <c r="Q165" s="38"/>
      <c r="R165" s="39" t="s">
        <v>0</v>
      </c>
      <c r="S165" s="38"/>
      <c r="T165" s="38"/>
      <c r="U165" s="39" t="s">
        <v>0</v>
      </c>
      <c r="V165" s="38"/>
      <c r="W165" s="37"/>
      <c r="X165" s="37" t="str">
        <f t="shared" si="51"/>
        <v/>
      </c>
      <c r="Y165" s="39" t="s">
        <v>0</v>
      </c>
      <c r="Z165" s="37" t="str">
        <f t="shared" si="52"/>
        <v/>
      </c>
      <c r="AA165" s="37"/>
      <c r="AB165" s="37" t="str">
        <f t="shared" si="53"/>
        <v/>
      </c>
      <c r="AC165" s="39" t="s">
        <v>0</v>
      </c>
      <c r="AD165" s="37" t="str">
        <f t="shared" si="54"/>
        <v/>
      </c>
      <c r="AE165" s="56"/>
      <c r="AF165" s="37" t="str">
        <f t="shared" si="55"/>
        <v/>
      </c>
      <c r="AG165" s="39" t="s">
        <v>0</v>
      </c>
      <c r="AH165" s="37" t="str">
        <f t="shared" si="56"/>
        <v/>
      </c>
      <c r="AJ165" s="4" t="str">
        <f t="shared" si="59"/>
        <v>Ort</v>
      </c>
    </row>
    <row r="166" spans="1:73" ht="15.75" hidden="1">
      <c r="A166" s="3" t="str">
        <f t="shared" si="57"/>
        <v/>
      </c>
      <c r="B166" s="349" t="str">
        <f t="shared" si="58"/>
        <v>00.00.2018</v>
      </c>
      <c r="C166" s="40" t="s">
        <v>75</v>
      </c>
      <c r="D166" s="41"/>
      <c r="E166" s="3">
        <v>1</v>
      </c>
      <c r="F166" s="354" t="str">
        <f>IF(H166&lt;21,COUNTIF(H$6:H166,"&lt;21"),"")</f>
        <v/>
      </c>
      <c r="G166" s="7" t="str">
        <f t="shared" si="60"/>
        <v/>
      </c>
      <c r="H166" s="348">
        <v>21</v>
      </c>
      <c r="I166" s="29" t="s">
        <v>16</v>
      </c>
      <c r="J166" s="348">
        <v>21</v>
      </c>
      <c r="K166" s="7" t="str">
        <f t="shared" si="49"/>
        <v/>
      </c>
      <c r="L166" s="348">
        <v>21</v>
      </c>
      <c r="M166" s="7" t="str">
        <f t="shared" si="50"/>
        <v/>
      </c>
      <c r="N166" s="38"/>
      <c r="O166" s="39" t="s">
        <v>0</v>
      </c>
      <c r="P166" s="38"/>
      <c r="Q166" s="38"/>
      <c r="R166" s="39" t="s">
        <v>0</v>
      </c>
      <c r="S166" s="38"/>
      <c r="T166" s="38"/>
      <c r="U166" s="39" t="s">
        <v>0</v>
      </c>
      <c r="V166" s="38"/>
      <c r="W166" s="37"/>
      <c r="X166" s="37" t="str">
        <f t="shared" si="51"/>
        <v/>
      </c>
      <c r="Y166" s="39" t="s">
        <v>0</v>
      </c>
      <c r="Z166" s="37" t="str">
        <f t="shared" si="52"/>
        <v/>
      </c>
      <c r="AA166" s="37"/>
      <c r="AB166" s="37" t="str">
        <f t="shared" si="53"/>
        <v/>
      </c>
      <c r="AC166" s="39" t="s">
        <v>0</v>
      </c>
      <c r="AD166" s="37" t="str">
        <f t="shared" si="54"/>
        <v/>
      </c>
      <c r="AE166" s="56"/>
      <c r="AF166" s="37" t="str">
        <f t="shared" si="55"/>
        <v/>
      </c>
      <c r="AG166" s="39" t="s">
        <v>0</v>
      </c>
      <c r="AH166" s="37" t="str">
        <f t="shared" si="56"/>
        <v/>
      </c>
      <c r="AJ166" s="4" t="str">
        <f t="shared" si="59"/>
        <v>Ort</v>
      </c>
    </row>
    <row r="167" spans="1:73" ht="15.75" hidden="1">
      <c r="A167" s="3" t="str">
        <f t="shared" si="57"/>
        <v/>
      </c>
      <c r="B167" s="349" t="str">
        <f t="shared" si="58"/>
        <v>00.00.2018</v>
      </c>
      <c r="C167" s="40" t="s">
        <v>75</v>
      </c>
      <c r="D167" s="41"/>
      <c r="E167" s="3">
        <v>1</v>
      </c>
      <c r="F167" s="354" t="str">
        <f>IF(H167&lt;21,COUNTIF(H$6:H167,"&lt;21"),"")</f>
        <v/>
      </c>
      <c r="G167" s="7" t="str">
        <f t="shared" si="60"/>
        <v/>
      </c>
      <c r="H167" s="348">
        <v>21</v>
      </c>
      <c r="I167" s="29" t="s">
        <v>16</v>
      </c>
      <c r="J167" s="348">
        <v>21</v>
      </c>
      <c r="K167" s="7" t="str">
        <f t="shared" si="49"/>
        <v/>
      </c>
      <c r="L167" s="348">
        <v>21</v>
      </c>
      <c r="M167" s="7" t="str">
        <f t="shared" si="50"/>
        <v/>
      </c>
      <c r="N167" s="38"/>
      <c r="O167" s="39" t="s">
        <v>0</v>
      </c>
      <c r="P167" s="38"/>
      <c r="Q167" s="38"/>
      <c r="R167" s="39" t="s">
        <v>0</v>
      </c>
      <c r="S167" s="38"/>
      <c r="T167" s="38"/>
      <c r="U167" s="39" t="s">
        <v>0</v>
      </c>
      <c r="V167" s="38"/>
      <c r="W167" s="37"/>
      <c r="X167" s="37" t="str">
        <f t="shared" si="51"/>
        <v/>
      </c>
      <c r="Y167" s="39" t="s">
        <v>0</v>
      </c>
      <c r="Z167" s="37" t="str">
        <f t="shared" si="52"/>
        <v/>
      </c>
      <c r="AA167" s="37"/>
      <c r="AB167" s="37" t="str">
        <f t="shared" si="53"/>
        <v/>
      </c>
      <c r="AC167" s="39" t="s">
        <v>0</v>
      </c>
      <c r="AD167" s="37" t="str">
        <f t="shared" si="54"/>
        <v/>
      </c>
      <c r="AE167" s="56"/>
      <c r="AF167" s="37" t="str">
        <f t="shared" si="55"/>
        <v/>
      </c>
      <c r="AG167" s="39" t="s">
        <v>0</v>
      </c>
      <c r="AH167" s="37" t="str">
        <f t="shared" si="56"/>
        <v/>
      </c>
      <c r="AJ167" s="4" t="str">
        <f t="shared" si="59"/>
        <v>Ort</v>
      </c>
    </row>
    <row r="168" spans="1:73" ht="15.75" hidden="1">
      <c r="A168" s="3" t="str">
        <f t="shared" si="57"/>
        <v/>
      </c>
      <c r="B168" s="349" t="str">
        <f t="shared" si="58"/>
        <v>00.00.2018</v>
      </c>
      <c r="C168" s="40" t="s">
        <v>75</v>
      </c>
      <c r="D168" s="41"/>
      <c r="E168" s="3">
        <v>1</v>
      </c>
      <c r="F168" s="354" t="str">
        <f>IF(H168&lt;21,COUNTIF(H$6:H168,"&lt;21"),"")</f>
        <v/>
      </c>
      <c r="G168" s="7" t="str">
        <f t="shared" si="60"/>
        <v/>
      </c>
      <c r="H168" s="348">
        <v>21</v>
      </c>
      <c r="I168" s="29" t="s">
        <v>16</v>
      </c>
      <c r="J168" s="348">
        <v>21</v>
      </c>
      <c r="K168" s="7" t="str">
        <f t="shared" si="49"/>
        <v/>
      </c>
      <c r="L168" s="348">
        <v>21</v>
      </c>
      <c r="M168" s="7" t="str">
        <f t="shared" si="50"/>
        <v/>
      </c>
      <c r="N168" s="38"/>
      <c r="O168" s="39" t="s">
        <v>0</v>
      </c>
      <c r="P168" s="38"/>
      <c r="Q168" s="38"/>
      <c r="R168" s="39" t="s">
        <v>0</v>
      </c>
      <c r="S168" s="38"/>
      <c r="T168" s="38"/>
      <c r="U168" s="39" t="s">
        <v>0</v>
      </c>
      <c r="V168" s="38"/>
      <c r="W168" s="37"/>
      <c r="X168" s="37" t="str">
        <f t="shared" si="51"/>
        <v/>
      </c>
      <c r="Y168" s="39" t="s">
        <v>0</v>
      </c>
      <c r="Z168" s="37" t="str">
        <f t="shared" si="52"/>
        <v/>
      </c>
      <c r="AA168" s="37"/>
      <c r="AB168" s="37" t="str">
        <f t="shared" si="53"/>
        <v/>
      </c>
      <c r="AC168" s="39" t="s">
        <v>0</v>
      </c>
      <c r="AD168" s="37" t="str">
        <f t="shared" si="54"/>
        <v/>
      </c>
      <c r="AE168" s="56"/>
      <c r="AF168" s="37" t="str">
        <f t="shared" si="55"/>
        <v/>
      </c>
      <c r="AG168" s="39" t="s">
        <v>0</v>
      </c>
      <c r="AH168" s="37" t="str">
        <f t="shared" si="56"/>
        <v/>
      </c>
      <c r="AJ168" s="4" t="str">
        <f t="shared" si="59"/>
        <v>Ort</v>
      </c>
    </row>
    <row r="169" spans="1:73" ht="15.75" hidden="1">
      <c r="A169" s="3" t="str">
        <f t="shared" si="57"/>
        <v/>
      </c>
      <c r="B169" s="349" t="str">
        <f t="shared" si="58"/>
        <v>00.00.2018</v>
      </c>
      <c r="C169" s="40" t="s">
        <v>75</v>
      </c>
      <c r="D169" s="41"/>
      <c r="E169" s="3">
        <v>1</v>
      </c>
      <c r="F169" s="354" t="str">
        <f>IF(H169&lt;21,COUNTIF(H$6:H169,"&lt;21"),"")</f>
        <v/>
      </c>
      <c r="G169" s="7" t="str">
        <f t="shared" si="60"/>
        <v/>
      </c>
      <c r="H169" s="348">
        <v>21</v>
      </c>
      <c r="I169" s="29" t="s">
        <v>16</v>
      </c>
      <c r="J169" s="348">
        <v>21</v>
      </c>
      <c r="K169" s="7" t="str">
        <f t="shared" si="49"/>
        <v/>
      </c>
      <c r="L169" s="348">
        <v>21</v>
      </c>
      <c r="M169" s="7" t="str">
        <f t="shared" si="50"/>
        <v/>
      </c>
      <c r="N169" s="38"/>
      <c r="O169" s="39" t="s">
        <v>0</v>
      </c>
      <c r="P169" s="38"/>
      <c r="Q169" s="38"/>
      <c r="R169" s="39" t="s">
        <v>0</v>
      </c>
      <c r="S169" s="38"/>
      <c r="T169" s="38"/>
      <c r="U169" s="39" t="s">
        <v>0</v>
      </c>
      <c r="V169" s="38"/>
      <c r="W169" s="37"/>
      <c r="X169" s="37" t="str">
        <f t="shared" si="51"/>
        <v/>
      </c>
      <c r="Y169" s="39" t="s">
        <v>0</v>
      </c>
      <c r="Z169" s="37" t="str">
        <f t="shared" si="52"/>
        <v/>
      </c>
      <c r="AA169" s="37"/>
      <c r="AB169" s="37" t="str">
        <f t="shared" si="53"/>
        <v/>
      </c>
      <c r="AC169" s="39" t="s">
        <v>0</v>
      </c>
      <c r="AD169" s="37" t="str">
        <f t="shared" si="54"/>
        <v/>
      </c>
      <c r="AE169" s="56"/>
      <c r="AF169" s="37" t="str">
        <f t="shared" si="55"/>
        <v/>
      </c>
      <c r="AG169" s="39" t="s">
        <v>0</v>
      </c>
      <c r="AH169" s="37" t="str">
        <f t="shared" si="56"/>
        <v/>
      </c>
      <c r="AJ169" s="4" t="str">
        <f t="shared" si="59"/>
        <v>Ort</v>
      </c>
    </row>
    <row r="170" spans="1:73" ht="15.75" hidden="1">
      <c r="A170" s="3" t="str">
        <f t="shared" si="57"/>
        <v/>
      </c>
      <c r="B170" s="349" t="str">
        <f t="shared" si="58"/>
        <v>00.00.2018</v>
      </c>
      <c r="C170" s="40" t="s">
        <v>75</v>
      </c>
      <c r="D170" s="41"/>
      <c r="E170" s="3">
        <v>1</v>
      </c>
      <c r="F170" s="354" t="str">
        <f>IF(H170&lt;21,COUNTIF(H$6:H170,"&lt;21"),"")</f>
        <v/>
      </c>
      <c r="G170" s="7" t="str">
        <f t="shared" si="60"/>
        <v/>
      </c>
      <c r="H170" s="348">
        <v>21</v>
      </c>
      <c r="I170" s="29" t="s">
        <v>16</v>
      </c>
      <c r="J170" s="348">
        <v>21</v>
      </c>
      <c r="K170" s="7" t="str">
        <f t="shared" si="49"/>
        <v/>
      </c>
      <c r="L170" s="348">
        <v>21</v>
      </c>
      <c r="M170" s="7" t="str">
        <f t="shared" si="50"/>
        <v/>
      </c>
      <c r="N170" s="38"/>
      <c r="O170" s="39" t="s">
        <v>0</v>
      </c>
      <c r="P170" s="38"/>
      <c r="Q170" s="38"/>
      <c r="R170" s="39" t="s">
        <v>0</v>
      </c>
      <c r="S170" s="38"/>
      <c r="T170" s="38"/>
      <c r="U170" s="39" t="s">
        <v>0</v>
      </c>
      <c r="V170" s="38"/>
      <c r="W170" s="37"/>
      <c r="X170" s="37" t="str">
        <f t="shared" si="51"/>
        <v/>
      </c>
      <c r="Y170" s="39" t="s">
        <v>0</v>
      </c>
      <c r="Z170" s="37" t="str">
        <f t="shared" si="52"/>
        <v/>
      </c>
      <c r="AA170" s="37"/>
      <c r="AB170" s="37" t="str">
        <f t="shared" si="53"/>
        <v/>
      </c>
      <c r="AC170" s="39" t="s">
        <v>0</v>
      </c>
      <c r="AD170" s="37" t="str">
        <f t="shared" si="54"/>
        <v/>
      </c>
      <c r="AE170" s="56"/>
      <c r="AF170" s="37" t="str">
        <f t="shared" si="55"/>
        <v/>
      </c>
      <c r="AG170" s="39" t="s">
        <v>0</v>
      </c>
      <c r="AH170" s="37" t="str">
        <f t="shared" si="56"/>
        <v/>
      </c>
      <c r="AJ170" s="4" t="str">
        <f t="shared" si="59"/>
        <v>Ort</v>
      </c>
    </row>
    <row r="171" spans="1:73" ht="15.75" hidden="1">
      <c r="A171" s="350" t="str">
        <f t="shared" si="57"/>
        <v/>
      </c>
      <c r="B171" s="349" t="str">
        <f t="shared" si="58"/>
        <v>00.00.2018</v>
      </c>
      <c r="C171" s="40" t="s">
        <v>75</v>
      </c>
      <c r="D171" s="41"/>
      <c r="E171" s="3">
        <v>1</v>
      </c>
      <c r="F171" s="354" t="str">
        <f>IF(H171&lt;21,COUNTIF(H$6:H171,"&lt;21"),"")</f>
        <v/>
      </c>
      <c r="G171" s="7" t="str">
        <f t="shared" si="60"/>
        <v/>
      </c>
      <c r="H171" s="348">
        <v>21</v>
      </c>
      <c r="I171" s="29" t="s">
        <v>16</v>
      </c>
      <c r="J171" s="348">
        <v>21</v>
      </c>
      <c r="K171" s="7" t="str">
        <f t="shared" si="49"/>
        <v/>
      </c>
      <c r="L171" s="348">
        <v>21</v>
      </c>
      <c r="M171" s="7" t="str">
        <f t="shared" si="50"/>
        <v/>
      </c>
      <c r="N171" s="38"/>
      <c r="O171" s="39" t="s">
        <v>0</v>
      </c>
      <c r="P171" s="38"/>
      <c r="Q171" s="38"/>
      <c r="R171" s="39" t="s">
        <v>0</v>
      </c>
      <c r="S171" s="38"/>
      <c r="T171" s="38"/>
      <c r="U171" s="39" t="s">
        <v>0</v>
      </c>
      <c r="V171" s="38"/>
      <c r="W171" s="37"/>
      <c r="X171" s="37" t="str">
        <f t="shared" si="51"/>
        <v/>
      </c>
      <c r="Y171" s="39" t="s">
        <v>0</v>
      </c>
      <c r="Z171" s="37" t="str">
        <f t="shared" si="52"/>
        <v/>
      </c>
      <c r="AA171" s="37"/>
      <c r="AB171" s="37" t="str">
        <f t="shared" si="53"/>
        <v/>
      </c>
      <c r="AC171" s="39" t="s">
        <v>0</v>
      </c>
      <c r="AD171" s="37" t="str">
        <f t="shared" si="54"/>
        <v/>
      </c>
      <c r="AE171" s="56"/>
      <c r="AF171" s="37" t="str">
        <f t="shared" si="55"/>
        <v/>
      </c>
      <c r="AG171" s="39" t="s">
        <v>0</v>
      </c>
      <c r="AH171" s="37" t="str">
        <f t="shared" si="56"/>
        <v/>
      </c>
      <c r="AJ171" s="4" t="str">
        <f t="shared" si="59"/>
        <v>Ort</v>
      </c>
    </row>
    <row r="172" spans="1:73" ht="15.75">
      <c r="A172" s="367"/>
      <c r="B172" s="368"/>
      <c r="C172" s="369"/>
      <c r="D172" s="370"/>
      <c r="E172" s="367"/>
      <c r="F172" s="367"/>
      <c r="G172" s="371"/>
      <c r="H172" s="372"/>
      <c r="I172" s="373"/>
      <c r="J172" s="372"/>
      <c r="K172" s="371"/>
      <c r="L172" s="372"/>
      <c r="M172" s="371"/>
      <c r="N172" s="374"/>
      <c r="O172" s="375"/>
      <c r="P172" s="374"/>
      <c r="Q172" s="374"/>
      <c r="R172" s="375"/>
      <c r="S172" s="374"/>
      <c r="T172" s="374"/>
      <c r="U172" s="375"/>
      <c r="V172" s="374"/>
      <c r="W172" s="376"/>
      <c r="X172" s="376"/>
      <c r="Y172" s="375"/>
      <c r="Z172" s="376"/>
      <c r="AA172" s="376"/>
      <c r="AB172" s="376"/>
      <c r="AC172" s="375"/>
      <c r="AD172" s="376"/>
      <c r="AE172" s="377"/>
      <c r="AF172" s="376"/>
      <c r="AG172" s="375"/>
      <c r="AH172" s="376"/>
    </row>
    <row r="173" spans="1:73">
      <c r="A173" s="351"/>
      <c r="W173" s="34"/>
      <c r="X173" s="34"/>
      <c r="Y173" s="34"/>
      <c r="Z173" s="34"/>
      <c r="AE173" s="57"/>
    </row>
    <row r="174" spans="1:73" s="17" customFormat="1" ht="20.25">
      <c r="C174" s="14"/>
      <c r="D174" s="15"/>
      <c r="E174" s="15"/>
      <c r="F174" s="16" t="s">
        <v>133</v>
      </c>
      <c r="I174" s="16"/>
      <c r="J174" s="16"/>
      <c r="K174" s="362" t="s">
        <v>145</v>
      </c>
      <c r="L174" s="362"/>
      <c r="M174" s="363" t="s">
        <v>146</v>
      </c>
      <c r="N174" s="14"/>
      <c r="O174" s="14"/>
      <c r="P174" s="364" t="s">
        <v>147</v>
      </c>
      <c r="Q174" s="14"/>
      <c r="R174" s="14"/>
      <c r="S174" s="14"/>
      <c r="T174" s="14"/>
      <c r="U174" s="14"/>
      <c r="V174" s="14"/>
      <c r="W174" s="35"/>
      <c r="X174" s="378" t="s">
        <v>150</v>
      </c>
      <c r="Y174" s="35"/>
      <c r="Z174" s="35"/>
      <c r="AA174" s="35"/>
      <c r="AB174" s="35"/>
      <c r="AC174" s="35"/>
      <c r="AD174" s="35"/>
      <c r="AE174" s="54"/>
      <c r="AF174" s="35"/>
      <c r="AG174" s="35"/>
      <c r="AH174" s="35"/>
      <c r="AM174" s="4"/>
      <c r="AN174" s="4"/>
    </row>
    <row r="175" spans="1:73" s="30" customFormat="1" ht="20.25">
      <c r="A175" s="147" t="s">
        <v>13</v>
      </c>
      <c r="B175" s="20" t="s">
        <v>83</v>
      </c>
      <c r="C175" s="25" t="s">
        <v>8</v>
      </c>
      <c r="D175" s="26" t="s">
        <v>4</v>
      </c>
      <c r="E175" s="26" t="s">
        <v>3</v>
      </c>
      <c r="F175" s="26" t="s">
        <v>13</v>
      </c>
      <c r="G175" s="347" t="s">
        <v>7</v>
      </c>
      <c r="H175" s="348" t="s">
        <v>24</v>
      </c>
      <c r="I175" s="29"/>
      <c r="J175" s="7" t="s">
        <v>25</v>
      </c>
      <c r="K175" s="347" t="s">
        <v>6</v>
      </c>
      <c r="L175" s="348" t="s">
        <v>76</v>
      </c>
      <c r="M175" s="29" t="s">
        <v>5</v>
      </c>
      <c r="N175" s="394" t="s">
        <v>29</v>
      </c>
      <c r="O175" s="394"/>
      <c r="P175" s="394"/>
      <c r="Q175" s="394" t="s">
        <v>30</v>
      </c>
      <c r="R175" s="394"/>
      <c r="S175" s="394"/>
      <c r="T175" s="394" t="s">
        <v>31</v>
      </c>
      <c r="U175" s="394"/>
      <c r="V175" s="394"/>
      <c r="W175" s="39"/>
      <c r="X175" s="395" t="s">
        <v>2</v>
      </c>
      <c r="Y175" s="395"/>
      <c r="Z175" s="395"/>
      <c r="AA175" s="39"/>
      <c r="AB175" s="395" t="s">
        <v>32</v>
      </c>
      <c r="AC175" s="395"/>
      <c r="AD175" s="395"/>
      <c r="AE175" s="55"/>
      <c r="AF175" s="395" t="s">
        <v>28</v>
      </c>
      <c r="AG175" s="395"/>
      <c r="AH175" s="395"/>
      <c r="AM175" s="17"/>
      <c r="AN175" s="17"/>
      <c r="BU175" s="365" t="s">
        <v>135</v>
      </c>
    </row>
    <row r="176" spans="1:73" ht="15.75">
      <c r="A176" s="3">
        <f t="shared" ref="A176:A187" si="61">F176</f>
        <v>52</v>
      </c>
      <c r="B176" s="349" t="str">
        <f>K$140</f>
        <v>00.00.2018</v>
      </c>
      <c r="C176" s="366">
        <v>0.39583333333333331</v>
      </c>
      <c r="D176" s="353">
        <v>1</v>
      </c>
      <c r="E176" s="354">
        <v>1</v>
      </c>
      <c r="F176" s="354">
        <f>IF(H176&lt;21,COUNTIF(H$6:H176,"&lt;21"),"")</f>
        <v>52</v>
      </c>
      <c r="G176" s="355" t="str">
        <f t="shared" ref="G176:G187" si="62">IF(H176=21,"",INDEX($AM$7:$AN$27,H176,2))</f>
        <v>Team 3</v>
      </c>
      <c r="H176" s="343">
        <v>3</v>
      </c>
      <c r="I176" s="29" t="s">
        <v>16</v>
      </c>
      <c r="J176" s="343">
        <v>7</v>
      </c>
      <c r="K176" s="355" t="str">
        <f t="shared" ref="K176:K187" si="63">IF(J176=21,"",INDEX($AM$7:$AN$27,J176,2))</f>
        <v>Team 7</v>
      </c>
      <c r="L176" s="343">
        <v>5</v>
      </c>
      <c r="M176" s="355" t="str">
        <f t="shared" ref="M176:M187" si="64">IF(L176=21,"",INDEX($AM$7:$AN$27,L176,2))</f>
        <v>Team 5</v>
      </c>
      <c r="N176" s="357"/>
      <c r="O176" s="358" t="s">
        <v>0</v>
      </c>
      <c r="P176" s="357"/>
      <c r="Q176" s="357"/>
      <c r="R176" s="358" t="s">
        <v>0</v>
      </c>
      <c r="S176" s="357"/>
      <c r="T176" s="357"/>
      <c r="U176" s="358" t="s">
        <v>0</v>
      </c>
      <c r="V176" s="357"/>
      <c r="W176" s="359"/>
      <c r="X176" s="359" t="str">
        <f t="shared" ref="X176:X187" si="65">IF(N176+P176&gt;0,IF(AB176&gt;0,IF(AB176&gt;AD176,2,IF(AB176&lt;AD176,0,1)),0),"")</f>
        <v/>
      </c>
      <c r="Y176" s="358" t="s">
        <v>0</v>
      </c>
      <c r="Z176" s="359" t="str">
        <f t="shared" ref="Z176:Z187" si="66">IF(N176+P176&gt;0,IF(AD176&gt;0,IF(AD176&gt;AB176,2,IF(AD176&lt;AB176,0,1)),0),"")</f>
        <v/>
      </c>
      <c r="AA176" s="359"/>
      <c r="AB176" s="359" t="str">
        <f t="shared" ref="AB176:AB187" si="67">IF(N176+P176&gt;0,IF(N176&gt;P176,1,0)+IF(Q176&gt;S176,1,0)+IF(T176&gt;V176,1,0),"")</f>
        <v/>
      </c>
      <c r="AC176" s="358" t="s">
        <v>0</v>
      </c>
      <c r="AD176" s="359" t="str">
        <f t="shared" ref="AD176:AD187" si="68">IF(N176+P176&gt;0,IF(N176&lt;P176,1,0)+IF(Q176&lt;S176,1,0)+IF(T176&lt;V176,1,0),"")</f>
        <v/>
      </c>
      <c r="AE176" s="360"/>
      <c r="AF176" s="359" t="str">
        <f t="shared" ref="AF176:AF187" si="69">IF(N176+P176&gt;0,N176+Q176+T176,"")</f>
        <v/>
      </c>
      <c r="AG176" s="358" t="s">
        <v>0</v>
      </c>
      <c r="AH176" s="359" t="str">
        <f t="shared" ref="AH176:AH187" si="70">IF(N176+P176&gt;0,P176+S176+V176,"")</f>
        <v/>
      </c>
      <c r="AJ176" s="4" t="str">
        <f>M$140</f>
        <v>Ort</v>
      </c>
      <c r="AM176" s="30"/>
      <c r="AN176" s="30"/>
      <c r="AQ176" s="4" t="s">
        <v>134</v>
      </c>
      <c r="AR176" s="4" t="str">
        <f>Platzierung!T21</f>
        <v>Team 1</v>
      </c>
      <c r="BU176" s="4">
        <f>Platzierung!T62</f>
        <v>0</v>
      </c>
    </row>
    <row r="177" spans="1:44" ht="15.75">
      <c r="A177" s="3">
        <f t="shared" si="61"/>
        <v>53</v>
      </c>
      <c r="B177" s="349" t="str">
        <f t="shared" ref="B177:B205" si="71">K$140</f>
        <v>00.00.2018</v>
      </c>
      <c r="C177" s="40" t="s">
        <v>75</v>
      </c>
      <c r="D177" s="41">
        <v>2</v>
      </c>
      <c r="E177" s="3">
        <v>1</v>
      </c>
      <c r="F177" s="3">
        <f>IF(H177&lt;21,COUNTIF(H$6:H177,"&lt;21"),"")</f>
        <v>53</v>
      </c>
      <c r="G177" s="7" t="str">
        <f t="shared" si="62"/>
        <v>Team 3</v>
      </c>
      <c r="H177" s="343">
        <v>3</v>
      </c>
      <c r="I177" s="29" t="s">
        <v>16</v>
      </c>
      <c r="J177" s="343">
        <v>5</v>
      </c>
      <c r="K177" s="7" t="str">
        <f t="shared" si="63"/>
        <v>Team 5</v>
      </c>
      <c r="L177" s="343">
        <v>7</v>
      </c>
      <c r="M177" s="7" t="str">
        <f t="shared" si="64"/>
        <v>Team 7</v>
      </c>
      <c r="N177" s="38"/>
      <c r="O177" s="39" t="s">
        <v>0</v>
      </c>
      <c r="P177" s="38"/>
      <c r="Q177" s="38"/>
      <c r="R177" s="39" t="s">
        <v>0</v>
      </c>
      <c r="S177" s="38"/>
      <c r="T177" s="38"/>
      <c r="U177" s="39" t="s">
        <v>0</v>
      </c>
      <c r="V177" s="38"/>
      <c r="W177" s="37"/>
      <c r="X177" s="37" t="str">
        <f t="shared" si="65"/>
        <v/>
      </c>
      <c r="Y177" s="39" t="s">
        <v>0</v>
      </c>
      <c r="Z177" s="37" t="str">
        <f t="shared" si="66"/>
        <v/>
      </c>
      <c r="AA177" s="37"/>
      <c r="AB177" s="37" t="str">
        <f t="shared" si="67"/>
        <v/>
      </c>
      <c r="AC177" s="39" t="s">
        <v>0</v>
      </c>
      <c r="AD177" s="37" t="str">
        <f t="shared" si="68"/>
        <v/>
      </c>
      <c r="AE177" s="56"/>
      <c r="AF177" s="37" t="str">
        <f t="shared" si="69"/>
        <v/>
      </c>
      <c r="AG177" s="39" t="s">
        <v>0</v>
      </c>
      <c r="AH177" s="37" t="str">
        <f t="shared" si="70"/>
        <v/>
      </c>
      <c r="AJ177" s="4" t="str">
        <f t="shared" ref="AJ177:AJ205" si="72">M$140</f>
        <v>Ort</v>
      </c>
      <c r="AQ177" s="4" t="s">
        <v>134</v>
      </c>
      <c r="AR177" s="4" t="str">
        <f>Platzierung!T26</f>
        <v>Team 6</v>
      </c>
    </row>
    <row r="178" spans="1:44" ht="15.75">
      <c r="A178" s="3">
        <f t="shared" si="61"/>
        <v>54</v>
      </c>
      <c r="B178" s="349" t="str">
        <f t="shared" si="71"/>
        <v>00.00.2018</v>
      </c>
      <c r="C178" s="352" t="s">
        <v>75</v>
      </c>
      <c r="D178" s="353">
        <v>3</v>
      </c>
      <c r="E178" s="354">
        <v>1</v>
      </c>
      <c r="F178" s="354">
        <f>IF(H178&lt;21,COUNTIF(H$6:H178,"&lt;21"),"")</f>
        <v>54</v>
      </c>
      <c r="G178" s="355" t="str">
        <f t="shared" si="62"/>
        <v>Team 5</v>
      </c>
      <c r="H178" s="343">
        <v>5</v>
      </c>
      <c r="I178" s="29" t="s">
        <v>16</v>
      </c>
      <c r="J178" s="343">
        <v>7</v>
      </c>
      <c r="K178" s="355" t="str">
        <f t="shared" si="63"/>
        <v>Team 7</v>
      </c>
      <c r="L178" s="343">
        <v>3</v>
      </c>
      <c r="M178" s="355" t="str">
        <f t="shared" si="64"/>
        <v>Team 3</v>
      </c>
      <c r="N178" s="357"/>
      <c r="O178" s="358" t="s">
        <v>0</v>
      </c>
      <c r="P178" s="357"/>
      <c r="Q178" s="357"/>
      <c r="R178" s="358" t="s">
        <v>0</v>
      </c>
      <c r="S178" s="357"/>
      <c r="T178" s="357"/>
      <c r="U178" s="358" t="s">
        <v>0</v>
      </c>
      <c r="V178" s="357"/>
      <c r="W178" s="359"/>
      <c r="X178" s="359" t="str">
        <f t="shared" si="65"/>
        <v/>
      </c>
      <c r="Y178" s="358" t="s">
        <v>0</v>
      </c>
      <c r="Z178" s="359" t="str">
        <f t="shared" si="66"/>
        <v/>
      </c>
      <c r="AA178" s="359"/>
      <c r="AB178" s="359" t="str">
        <f t="shared" si="67"/>
        <v/>
      </c>
      <c r="AC178" s="358" t="s">
        <v>0</v>
      </c>
      <c r="AD178" s="359" t="str">
        <f t="shared" si="68"/>
        <v/>
      </c>
      <c r="AE178" s="360"/>
      <c r="AF178" s="359" t="str">
        <f t="shared" si="69"/>
        <v/>
      </c>
      <c r="AG178" s="358" t="s">
        <v>0</v>
      </c>
      <c r="AH178" s="359" t="str">
        <f t="shared" si="70"/>
        <v/>
      </c>
      <c r="AJ178" s="4" t="str">
        <f t="shared" si="72"/>
        <v>Ort</v>
      </c>
      <c r="AQ178" s="4" t="s">
        <v>134</v>
      </c>
      <c r="AR178" s="4" t="str">
        <f>Platzierung!T28</f>
        <v>Team 8</v>
      </c>
    </row>
    <row r="179" spans="1:44" ht="15.75">
      <c r="A179" s="3">
        <f t="shared" si="61"/>
        <v>55</v>
      </c>
      <c r="B179" s="349" t="str">
        <f t="shared" si="71"/>
        <v>00.00.2018</v>
      </c>
      <c r="C179" s="40" t="s">
        <v>75</v>
      </c>
      <c r="D179" s="41">
        <v>4</v>
      </c>
      <c r="E179" s="3">
        <v>1</v>
      </c>
      <c r="F179" s="3">
        <f>IF(H179&lt;21,COUNTIF(H$6:H179,"&lt;21"),"")</f>
        <v>55</v>
      </c>
      <c r="G179" s="7" t="str">
        <f t="shared" si="62"/>
        <v>Team 3</v>
      </c>
      <c r="H179" s="343">
        <v>3</v>
      </c>
      <c r="I179" s="29" t="s">
        <v>16</v>
      </c>
      <c r="J179" s="343">
        <v>9</v>
      </c>
      <c r="K179" s="7" t="str">
        <f t="shared" si="63"/>
        <v>Team 9</v>
      </c>
      <c r="L179" s="343">
        <v>5</v>
      </c>
      <c r="M179" s="7" t="str">
        <f t="shared" si="64"/>
        <v>Team 5</v>
      </c>
      <c r="N179" s="38"/>
      <c r="O179" s="39" t="s">
        <v>0</v>
      </c>
      <c r="P179" s="38"/>
      <c r="Q179" s="38"/>
      <c r="R179" s="39" t="s">
        <v>0</v>
      </c>
      <c r="S179" s="38"/>
      <c r="T179" s="38"/>
      <c r="U179" s="39" t="s">
        <v>0</v>
      </c>
      <c r="V179" s="38"/>
      <c r="W179" s="37"/>
      <c r="X179" s="37" t="str">
        <f t="shared" si="65"/>
        <v/>
      </c>
      <c r="Y179" s="39" t="s">
        <v>0</v>
      </c>
      <c r="Z179" s="37" t="str">
        <f t="shared" si="66"/>
        <v/>
      </c>
      <c r="AA179" s="37"/>
      <c r="AB179" s="37" t="str">
        <f t="shared" si="67"/>
        <v/>
      </c>
      <c r="AC179" s="39" t="s">
        <v>0</v>
      </c>
      <c r="AD179" s="37" t="str">
        <f t="shared" si="68"/>
        <v/>
      </c>
      <c r="AE179" s="56"/>
      <c r="AF179" s="37" t="str">
        <f t="shared" si="69"/>
        <v/>
      </c>
      <c r="AG179" s="39" t="s">
        <v>0</v>
      </c>
      <c r="AH179" s="37" t="str">
        <f t="shared" si="70"/>
        <v/>
      </c>
      <c r="AJ179" s="4" t="str">
        <f t="shared" si="72"/>
        <v>Ort</v>
      </c>
    </row>
    <row r="180" spans="1:44" ht="15.75">
      <c r="A180" s="3">
        <f t="shared" si="61"/>
        <v>56</v>
      </c>
      <c r="B180" s="349" t="str">
        <f t="shared" si="71"/>
        <v>00.00.2018</v>
      </c>
      <c r="C180" s="352" t="s">
        <v>75</v>
      </c>
      <c r="D180" s="353">
        <v>5</v>
      </c>
      <c r="E180" s="354">
        <v>1</v>
      </c>
      <c r="F180" s="354">
        <f>IF(H180&lt;21,COUNTIF(H$6:H180,"&lt;21"),"")</f>
        <v>56</v>
      </c>
      <c r="G180" s="355" t="str">
        <f t="shared" si="62"/>
        <v>Team 9</v>
      </c>
      <c r="H180" s="343">
        <v>9</v>
      </c>
      <c r="I180" s="29" t="s">
        <v>16</v>
      </c>
      <c r="J180" s="343">
        <v>5</v>
      </c>
      <c r="K180" s="355" t="str">
        <f t="shared" si="63"/>
        <v>Team 5</v>
      </c>
      <c r="L180" s="343">
        <v>7</v>
      </c>
      <c r="M180" s="355" t="str">
        <f t="shared" si="64"/>
        <v>Team 7</v>
      </c>
      <c r="N180" s="357"/>
      <c r="O180" s="358" t="s">
        <v>0</v>
      </c>
      <c r="P180" s="357"/>
      <c r="Q180" s="357"/>
      <c r="R180" s="358" t="s">
        <v>0</v>
      </c>
      <c r="S180" s="357"/>
      <c r="T180" s="357"/>
      <c r="U180" s="358" t="s">
        <v>0</v>
      </c>
      <c r="V180" s="357"/>
      <c r="W180" s="359"/>
      <c r="X180" s="359" t="str">
        <f t="shared" si="65"/>
        <v/>
      </c>
      <c r="Y180" s="358" t="s">
        <v>0</v>
      </c>
      <c r="Z180" s="359" t="str">
        <f t="shared" si="66"/>
        <v/>
      </c>
      <c r="AA180" s="359"/>
      <c r="AB180" s="359" t="str">
        <f t="shared" si="67"/>
        <v/>
      </c>
      <c r="AC180" s="358" t="s">
        <v>0</v>
      </c>
      <c r="AD180" s="359" t="str">
        <f t="shared" si="68"/>
        <v/>
      </c>
      <c r="AE180" s="360"/>
      <c r="AF180" s="359" t="str">
        <f t="shared" si="69"/>
        <v/>
      </c>
      <c r="AG180" s="358" t="s">
        <v>0</v>
      </c>
      <c r="AH180" s="359" t="str">
        <f t="shared" si="70"/>
        <v/>
      </c>
      <c r="AJ180" s="4" t="str">
        <f t="shared" si="72"/>
        <v>Ort</v>
      </c>
    </row>
    <row r="181" spans="1:44" ht="15.75">
      <c r="A181" s="3">
        <f t="shared" si="61"/>
        <v>57</v>
      </c>
      <c r="B181" s="349" t="str">
        <f t="shared" si="71"/>
        <v>00.00.2018</v>
      </c>
      <c r="C181" s="40" t="s">
        <v>75</v>
      </c>
      <c r="D181" s="41">
        <v>6</v>
      </c>
      <c r="E181" s="3">
        <v>1</v>
      </c>
      <c r="F181" s="3">
        <f>IF(H181&lt;21,COUNTIF(H$6:H181,"&lt;21"),"")</f>
        <v>57</v>
      </c>
      <c r="G181" s="7" t="str">
        <f t="shared" si="62"/>
        <v>Team 2</v>
      </c>
      <c r="H181" s="343">
        <v>2</v>
      </c>
      <c r="I181" s="29" t="s">
        <v>16</v>
      </c>
      <c r="J181" s="343">
        <v>7</v>
      </c>
      <c r="K181" s="7" t="str">
        <f t="shared" si="63"/>
        <v>Team 7</v>
      </c>
      <c r="L181" s="343">
        <v>9</v>
      </c>
      <c r="M181" s="7" t="str">
        <f t="shared" si="64"/>
        <v>Team 9</v>
      </c>
      <c r="N181" s="38"/>
      <c r="O181" s="39" t="s">
        <v>0</v>
      </c>
      <c r="P181" s="38"/>
      <c r="Q181" s="38"/>
      <c r="R181" s="39" t="s">
        <v>0</v>
      </c>
      <c r="S181" s="38"/>
      <c r="T181" s="38"/>
      <c r="U181" s="39" t="s">
        <v>0</v>
      </c>
      <c r="V181" s="38"/>
      <c r="W181" s="37"/>
      <c r="X181" s="37" t="str">
        <f t="shared" si="65"/>
        <v/>
      </c>
      <c r="Y181" s="39" t="s">
        <v>0</v>
      </c>
      <c r="Z181" s="37" t="str">
        <f t="shared" si="66"/>
        <v/>
      </c>
      <c r="AA181" s="37"/>
      <c r="AB181" s="37" t="str">
        <f t="shared" si="67"/>
        <v/>
      </c>
      <c r="AC181" s="39" t="s">
        <v>0</v>
      </c>
      <c r="AD181" s="37" t="str">
        <f t="shared" si="68"/>
        <v/>
      </c>
      <c r="AE181" s="56"/>
      <c r="AF181" s="37" t="str">
        <f t="shared" si="69"/>
        <v/>
      </c>
      <c r="AG181" s="39" t="s">
        <v>0</v>
      </c>
      <c r="AH181" s="37" t="str">
        <f t="shared" si="70"/>
        <v/>
      </c>
      <c r="AJ181" s="4" t="str">
        <f t="shared" si="72"/>
        <v>Ort</v>
      </c>
    </row>
    <row r="182" spans="1:44" ht="15.75">
      <c r="A182" s="3">
        <f t="shared" si="61"/>
        <v>58</v>
      </c>
      <c r="B182" s="349" t="str">
        <f t="shared" si="71"/>
        <v>00.00.2018</v>
      </c>
      <c r="C182" s="352" t="s">
        <v>75</v>
      </c>
      <c r="D182" s="353">
        <v>7</v>
      </c>
      <c r="E182" s="354">
        <v>1</v>
      </c>
      <c r="F182" s="354">
        <f>IF(H182&lt;21,COUNTIF(H$6:H182,"&lt;21"),"")</f>
        <v>58</v>
      </c>
      <c r="G182" s="355" t="str">
        <f t="shared" si="62"/>
        <v>Team 5</v>
      </c>
      <c r="H182" s="356">
        <v>5</v>
      </c>
      <c r="I182" s="379" t="s">
        <v>16</v>
      </c>
      <c r="J182" s="356">
        <v>2</v>
      </c>
      <c r="K182" s="355" t="str">
        <f t="shared" si="63"/>
        <v>Team 2</v>
      </c>
      <c r="L182" s="356">
        <v>4</v>
      </c>
      <c r="M182" s="355" t="str">
        <f t="shared" si="64"/>
        <v>Team 4</v>
      </c>
      <c r="N182" s="357"/>
      <c r="O182" s="358" t="s">
        <v>0</v>
      </c>
      <c r="P182" s="357"/>
      <c r="Q182" s="357"/>
      <c r="R182" s="358" t="s">
        <v>0</v>
      </c>
      <c r="S182" s="357"/>
      <c r="T182" s="357"/>
      <c r="U182" s="358" t="s">
        <v>0</v>
      </c>
      <c r="V182" s="357"/>
      <c r="W182" s="359"/>
      <c r="X182" s="359" t="str">
        <f t="shared" si="65"/>
        <v/>
      </c>
      <c r="Y182" s="358" t="s">
        <v>0</v>
      </c>
      <c r="Z182" s="359" t="str">
        <f t="shared" si="66"/>
        <v/>
      </c>
      <c r="AA182" s="359"/>
      <c r="AB182" s="359" t="str">
        <f t="shared" si="67"/>
        <v/>
      </c>
      <c r="AC182" s="358" t="s">
        <v>0</v>
      </c>
      <c r="AD182" s="359" t="str">
        <f t="shared" si="68"/>
        <v/>
      </c>
      <c r="AE182" s="360"/>
      <c r="AF182" s="359" t="str">
        <f t="shared" si="69"/>
        <v/>
      </c>
      <c r="AG182" s="358" t="s">
        <v>0</v>
      </c>
      <c r="AH182" s="359" t="str">
        <f t="shared" si="70"/>
        <v/>
      </c>
      <c r="AJ182" s="4" t="str">
        <f t="shared" si="72"/>
        <v>Ort</v>
      </c>
    </row>
    <row r="183" spans="1:44" ht="15.75">
      <c r="A183" s="3">
        <f t="shared" si="61"/>
        <v>59</v>
      </c>
      <c r="B183" s="349" t="str">
        <f t="shared" si="71"/>
        <v>00.00.2018</v>
      </c>
      <c r="C183" s="40" t="s">
        <v>75</v>
      </c>
      <c r="D183" s="41">
        <v>8</v>
      </c>
      <c r="E183" s="3">
        <v>1</v>
      </c>
      <c r="F183" s="3">
        <f>IF(H183&lt;21,COUNTIF(H$6:H183,"&lt;21"),"")</f>
        <v>59</v>
      </c>
      <c r="G183" s="7" t="str">
        <f t="shared" si="62"/>
        <v>Team 4</v>
      </c>
      <c r="H183" s="343">
        <v>4</v>
      </c>
      <c r="I183" s="29" t="s">
        <v>16</v>
      </c>
      <c r="J183" s="343">
        <v>9</v>
      </c>
      <c r="K183" s="7" t="str">
        <f t="shared" si="63"/>
        <v>Team 9</v>
      </c>
      <c r="L183" s="343">
        <v>2</v>
      </c>
      <c r="M183" s="7" t="str">
        <f t="shared" si="64"/>
        <v>Team 2</v>
      </c>
      <c r="N183" s="38"/>
      <c r="O183" s="39" t="s">
        <v>0</v>
      </c>
      <c r="P183" s="38"/>
      <c r="Q183" s="38"/>
      <c r="R183" s="39" t="s">
        <v>0</v>
      </c>
      <c r="S183" s="38"/>
      <c r="T183" s="38"/>
      <c r="U183" s="39" t="s">
        <v>0</v>
      </c>
      <c r="V183" s="38"/>
      <c r="W183" s="37"/>
      <c r="X183" s="37" t="str">
        <f t="shared" si="65"/>
        <v/>
      </c>
      <c r="Y183" s="39" t="s">
        <v>0</v>
      </c>
      <c r="Z183" s="37" t="str">
        <f t="shared" si="66"/>
        <v/>
      </c>
      <c r="AA183" s="37"/>
      <c r="AB183" s="37" t="str">
        <f t="shared" si="67"/>
        <v/>
      </c>
      <c r="AC183" s="39" t="s">
        <v>0</v>
      </c>
      <c r="AD183" s="37" t="str">
        <f t="shared" si="68"/>
        <v/>
      </c>
      <c r="AE183" s="56"/>
      <c r="AF183" s="37" t="str">
        <f t="shared" si="69"/>
        <v/>
      </c>
      <c r="AG183" s="39" t="s">
        <v>0</v>
      </c>
      <c r="AH183" s="37" t="str">
        <f t="shared" si="70"/>
        <v/>
      </c>
      <c r="AJ183" s="4" t="str">
        <f t="shared" si="72"/>
        <v>Ort</v>
      </c>
    </row>
    <row r="184" spans="1:44" ht="15.75">
      <c r="A184" s="3">
        <f t="shared" si="61"/>
        <v>60</v>
      </c>
      <c r="B184" s="349" t="str">
        <f t="shared" si="71"/>
        <v>00.00.2018</v>
      </c>
      <c r="C184" s="352" t="s">
        <v>75</v>
      </c>
      <c r="D184" s="353">
        <v>9</v>
      </c>
      <c r="E184" s="354">
        <v>1</v>
      </c>
      <c r="F184" s="354">
        <f>IF(H184&lt;21,COUNTIF(H$6:H184,"&lt;21"),"")</f>
        <v>60</v>
      </c>
      <c r="G184" s="355" t="str">
        <f t="shared" si="62"/>
        <v>Team 2</v>
      </c>
      <c r="H184" s="356">
        <v>2</v>
      </c>
      <c r="I184" s="379" t="s">
        <v>16</v>
      </c>
      <c r="J184" s="356">
        <v>4</v>
      </c>
      <c r="K184" s="355" t="str">
        <f t="shared" si="63"/>
        <v>Team 4</v>
      </c>
      <c r="L184" s="356">
        <v>9</v>
      </c>
      <c r="M184" s="355" t="str">
        <f t="shared" si="64"/>
        <v>Team 9</v>
      </c>
      <c r="N184" s="357"/>
      <c r="O184" s="358" t="s">
        <v>0</v>
      </c>
      <c r="P184" s="357"/>
      <c r="Q184" s="357"/>
      <c r="R184" s="358" t="s">
        <v>0</v>
      </c>
      <c r="S184" s="357"/>
      <c r="T184" s="357"/>
      <c r="U184" s="358" t="s">
        <v>0</v>
      </c>
      <c r="V184" s="357"/>
      <c r="W184" s="359"/>
      <c r="X184" s="359" t="str">
        <f t="shared" si="65"/>
        <v/>
      </c>
      <c r="Y184" s="358" t="s">
        <v>0</v>
      </c>
      <c r="Z184" s="359" t="str">
        <f t="shared" si="66"/>
        <v/>
      </c>
      <c r="AA184" s="359"/>
      <c r="AB184" s="359" t="str">
        <f t="shared" si="67"/>
        <v/>
      </c>
      <c r="AC184" s="358" t="s">
        <v>0</v>
      </c>
      <c r="AD184" s="359" t="str">
        <f t="shared" si="68"/>
        <v/>
      </c>
      <c r="AE184" s="360"/>
      <c r="AF184" s="359" t="str">
        <f t="shared" si="69"/>
        <v/>
      </c>
      <c r="AG184" s="358" t="s">
        <v>0</v>
      </c>
      <c r="AH184" s="359" t="str">
        <f t="shared" si="70"/>
        <v/>
      </c>
      <c r="AJ184" s="4" t="str">
        <f t="shared" si="72"/>
        <v>Ort</v>
      </c>
    </row>
    <row r="185" spans="1:44" s="30" customFormat="1" ht="15.75" hidden="1">
      <c r="A185" s="3" t="str">
        <f t="shared" si="61"/>
        <v/>
      </c>
      <c r="B185" s="349" t="str">
        <f t="shared" si="71"/>
        <v>00.00.2018</v>
      </c>
      <c r="C185" s="40" t="s">
        <v>75</v>
      </c>
      <c r="D185" s="41">
        <v>10</v>
      </c>
      <c r="E185" s="3">
        <v>1</v>
      </c>
      <c r="F185" s="354" t="str">
        <f>IF(H185&lt;21,COUNTIF(H$6:H185,"&lt;21"),"")</f>
        <v/>
      </c>
      <c r="G185" s="7" t="str">
        <f t="shared" si="62"/>
        <v/>
      </c>
      <c r="H185" s="343">
        <v>21</v>
      </c>
      <c r="I185" s="29" t="s">
        <v>16</v>
      </c>
      <c r="J185" s="343">
        <v>21</v>
      </c>
      <c r="K185" s="7" t="str">
        <f t="shared" si="63"/>
        <v/>
      </c>
      <c r="L185" s="343">
        <v>21</v>
      </c>
      <c r="M185" s="7" t="str">
        <f t="shared" si="64"/>
        <v/>
      </c>
      <c r="N185" s="38"/>
      <c r="O185" s="39" t="s">
        <v>0</v>
      </c>
      <c r="P185" s="38"/>
      <c r="Q185" s="38"/>
      <c r="R185" s="39" t="s">
        <v>0</v>
      </c>
      <c r="S185" s="38"/>
      <c r="T185" s="38"/>
      <c r="U185" s="39" t="s">
        <v>0</v>
      </c>
      <c r="V185" s="38"/>
      <c r="W185" s="37"/>
      <c r="X185" s="37" t="str">
        <f t="shared" si="65"/>
        <v/>
      </c>
      <c r="Y185" s="39" t="s">
        <v>0</v>
      </c>
      <c r="Z185" s="37" t="str">
        <f t="shared" si="66"/>
        <v/>
      </c>
      <c r="AA185" s="37"/>
      <c r="AB185" s="37" t="str">
        <f t="shared" si="67"/>
        <v/>
      </c>
      <c r="AC185" s="39" t="s">
        <v>0</v>
      </c>
      <c r="AD185" s="37" t="str">
        <f t="shared" si="68"/>
        <v/>
      </c>
      <c r="AE185" s="56"/>
      <c r="AF185" s="37" t="str">
        <f t="shared" si="69"/>
        <v/>
      </c>
      <c r="AG185" s="39" t="s">
        <v>0</v>
      </c>
      <c r="AH185" s="37" t="str">
        <f t="shared" si="70"/>
        <v/>
      </c>
      <c r="AJ185" s="4" t="str">
        <f t="shared" si="72"/>
        <v>Ort</v>
      </c>
      <c r="AM185" s="4"/>
      <c r="AN185" s="4"/>
    </row>
    <row r="186" spans="1:44" ht="15.75" hidden="1">
      <c r="A186" s="3" t="str">
        <f t="shared" si="61"/>
        <v/>
      </c>
      <c r="B186" s="349" t="str">
        <f t="shared" si="71"/>
        <v>00.00.2018</v>
      </c>
      <c r="C186" s="352" t="s">
        <v>75</v>
      </c>
      <c r="D186" s="353">
        <v>11</v>
      </c>
      <c r="E186" s="354">
        <v>1</v>
      </c>
      <c r="F186" s="354" t="str">
        <f>IF(H186&lt;21,COUNTIF(H$6:H186,"&lt;21"),"")</f>
        <v/>
      </c>
      <c r="G186" s="7" t="str">
        <f t="shared" si="62"/>
        <v/>
      </c>
      <c r="H186" s="361">
        <v>21</v>
      </c>
      <c r="I186" s="29" t="s">
        <v>16</v>
      </c>
      <c r="J186" s="361">
        <v>21</v>
      </c>
      <c r="K186" s="7" t="str">
        <f t="shared" si="63"/>
        <v/>
      </c>
      <c r="L186" s="361">
        <v>21</v>
      </c>
      <c r="M186" s="355" t="str">
        <f t="shared" si="64"/>
        <v/>
      </c>
      <c r="N186" s="357"/>
      <c r="O186" s="358" t="s">
        <v>0</v>
      </c>
      <c r="P186" s="357"/>
      <c r="Q186" s="357"/>
      <c r="R186" s="358" t="s">
        <v>0</v>
      </c>
      <c r="S186" s="357"/>
      <c r="T186" s="357"/>
      <c r="U186" s="358" t="s">
        <v>0</v>
      </c>
      <c r="V186" s="357"/>
      <c r="W186" s="359"/>
      <c r="X186" s="359" t="str">
        <f t="shared" si="65"/>
        <v/>
      </c>
      <c r="Y186" s="358" t="s">
        <v>0</v>
      </c>
      <c r="Z186" s="359" t="str">
        <f t="shared" si="66"/>
        <v/>
      </c>
      <c r="AA186" s="359"/>
      <c r="AB186" s="359" t="str">
        <f t="shared" si="67"/>
        <v/>
      </c>
      <c r="AC186" s="358" t="s">
        <v>0</v>
      </c>
      <c r="AD186" s="359" t="str">
        <f t="shared" si="68"/>
        <v/>
      </c>
      <c r="AE186" s="360"/>
      <c r="AF186" s="359" t="str">
        <f t="shared" si="69"/>
        <v/>
      </c>
      <c r="AG186" s="358" t="s">
        <v>0</v>
      </c>
      <c r="AH186" s="359" t="str">
        <f t="shared" si="70"/>
        <v/>
      </c>
      <c r="AJ186" s="4" t="str">
        <f t="shared" si="72"/>
        <v>Ort</v>
      </c>
    </row>
    <row r="187" spans="1:44" s="30" customFormat="1" ht="15.75" hidden="1">
      <c r="A187" s="3" t="str">
        <f t="shared" si="61"/>
        <v/>
      </c>
      <c r="B187" s="349" t="str">
        <f t="shared" si="71"/>
        <v>00.00.2018</v>
      </c>
      <c r="C187" s="352" t="s">
        <v>75</v>
      </c>
      <c r="D187" s="353">
        <v>12</v>
      </c>
      <c r="E187" s="354">
        <v>1</v>
      </c>
      <c r="F187" s="354" t="str">
        <f>IF(H187&lt;21,COUNTIF(H$6:H187,"&lt;21"),"")</f>
        <v/>
      </c>
      <c r="G187" s="7" t="str">
        <f t="shared" si="62"/>
        <v/>
      </c>
      <c r="H187" s="348">
        <v>21</v>
      </c>
      <c r="I187" s="29" t="s">
        <v>16</v>
      </c>
      <c r="J187" s="348">
        <v>21</v>
      </c>
      <c r="K187" s="7" t="str">
        <f t="shared" si="63"/>
        <v/>
      </c>
      <c r="L187" s="348">
        <v>21</v>
      </c>
      <c r="M187" s="355" t="str">
        <f t="shared" si="64"/>
        <v/>
      </c>
      <c r="N187" s="357"/>
      <c r="O187" s="358" t="s">
        <v>0</v>
      </c>
      <c r="P187" s="357"/>
      <c r="Q187" s="357"/>
      <c r="R187" s="358" t="s">
        <v>0</v>
      </c>
      <c r="S187" s="357"/>
      <c r="T187" s="357"/>
      <c r="U187" s="358" t="s">
        <v>0</v>
      </c>
      <c r="V187" s="357"/>
      <c r="W187" s="359"/>
      <c r="X187" s="359" t="str">
        <f t="shared" si="65"/>
        <v/>
      </c>
      <c r="Y187" s="358" t="s">
        <v>0</v>
      </c>
      <c r="Z187" s="359" t="str">
        <f t="shared" si="66"/>
        <v/>
      </c>
      <c r="AA187" s="359"/>
      <c r="AB187" s="359" t="str">
        <f t="shared" si="67"/>
        <v/>
      </c>
      <c r="AC187" s="358" t="s">
        <v>0</v>
      </c>
      <c r="AD187" s="359" t="str">
        <f t="shared" si="68"/>
        <v/>
      </c>
      <c r="AE187" s="360"/>
      <c r="AF187" s="359" t="str">
        <f t="shared" si="69"/>
        <v/>
      </c>
      <c r="AG187" s="358" t="s">
        <v>0</v>
      </c>
      <c r="AH187" s="359" t="str">
        <f t="shared" si="70"/>
        <v/>
      </c>
      <c r="AJ187" s="4" t="str">
        <f t="shared" si="72"/>
        <v>Ort</v>
      </c>
    </row>
    <row r="188" spans="1:44" ht="15.75" hidden="1">
      <c r="A188" s="3" t="str">
        <f t="shared" ref="A188:A205" si="73">F188</f>
        <v/>
      </c>
      <c r="B188" s="349" t="str">
        <f t="shared" si="71"/>
        <v>00.00.2018</v>
      </c>
      <c r="C188" s="40" t="s">
        <v>75</v>
      </c>
      <c r="D188" s="41">
        <v>13</v>
      </c>
      <c r="E188" s="3">
        <v>1</v>
      </c>
      <c r="F188" s="354" t="str">
        <f>IF(H188&lt;21,COUNTIF(H$6:H188,"&lt;21"),"")</f>
        <v/>
      </c>
      <c r="G188" s="7" t="str">
        <f t="shared" ref="G188:G205" si="74">IF(H188=21,"",INDEX($AM$7:$AN$27,H188,2))</f>
        <v/>
      </c>
      <c r="H188" s="361">
        <v>21</v>
      </c>
      <c r="I188" s="29" t="s">
        <v>16</v>
      </c>
      <c r="J188" s="361">
        <v>21</v>
      </c>
      <c r="K188" s="7" t="str">
        <f t="shared" ref="K188:K205" si="75">IF(J188=21,"",INDEX($AM$7:$AN$27,J188,2))</f>
        <v/>
      </c>
      <c r="L188" s="361">
        <v>21</v>
      </c>
      <c r="M188" s="7" t="str">
        <f t="shared" ref="M188:M205" si="76">IF(L188=21,"",INDEX($AM$7:$AN$27,L188,2))</f>
        <v/>
      </c>
      <c r="N188" s="38"/>
      <c r="O188" s="39" t="s">
        <v>0</v>
      </c>
      <c r="P188" s="38"/>
      <c r="Q188" s="38"/>
      <c r="R188" s="39" t="s">
        <v>0</v>
      </c>
      <c r="S188" s="38"/>
      <c r="T188" s="38"/>
      <c r="U188" s="39" t="s">
        <v>0</v>
      </c>
      <c r="V188" s="38"/>
      <c r="W188" s="37"/>
      <c r="X188" s="37" t="str">
        <f t="shared" ref="X188:X205" si="77">IF(N188+P188&gt;0,IF(AB188&gt;0,IF(AB188&gt;AD188,2,IF(AB188&lt;AD188,0,1)),0),"")</f>
        <v/>
      </c>
      <c r="Y188" s="39" t="s">
        <v>0</v>
      </c>
      <c r="Z188" s="37" t="str">
        <f t="shared" ref="Z188:Z205" si="78">IF(N188+P188&gt;0,IF(AD188&gt;0,IF(AD188&gt;AB188,2,IF(AD188&lt;AB188,0,1)),0),"")</f>
        <v/>
      </c>
      <c r="AA188" s="37"/>
      <c r="AB188" s="37" t="str">
        <f t="shared" ref="AB188:AB205" si="79">IF(N188+P188&gt;0,IF(N188&gt;P188,1,0)+IF(Q188&gt;S188,1,0)+IF(T188&gt;V188,1,0),"")</f>
        <v/>
      </c>
      <c r="AC188" s="39" t="s">
        <v>0</v>
      </c>
      <c r="AD188" s="37" t="str">
        <f t="shared" ref="AD188:AD205" si="80">IF(N188+P188&gt;0,IF(N188&lt;P188,1,0)+IF(Q188&lt;S188,1,0)+IF(T188&lt;V188,1,0),"")</f>
        <v/>
      </c>
      <c r="AE188" s="56"/>
      <c r="AF188" s="37" t="str">
        <f t="shared" ref="AF188:AF205" si="81">IF(N188+P188&gt;0,N188+Q188+T188,"")</f>
        <v/>
      </c>
      <c r="AG188" s="39" t="s">
        <v>0</v>
      </c>
      <c r="AH188" s="37" t="str">
        <f t="shared" ref="AH188:AH205" si="82">IF(N188+P188&gt;0,P188+S188+V188,"")</f>
        <v/>
      </c>
      <c r="AJ188" s="4" t="str">
        <f t="shared" si="72"/>
        <v>Ort</v>
      </c>
    </row>
    <row r="189" spans="1:44" ht="15.75" hidden="1">
      <c r="A189" s="3" t="str">
        <f t="shared" si="73"/>
        <v/>
      </c>
      <c r="B189" s="349" t="str">
        <f t="shared" si="71"/>
        <v>00.00.2018</v>
      </c>
      <c r="C189" s="40" t="s">
        <v>75</v>
      </c>
      <c r="D189" s="41">
        <v>14</v>
      </c>
      <c r="E189" s="3">
        <v>1</v>
      </c>
      <c r="F189" s="354" t="str">
        <f>IF(H189&lt;21,COUNTIF(H$6:H189,"&lt;21"),"")</f>
        <v/>
      </c>
      <c r="G189" s="7" t="str">
        <f t="shared" si="74"/>
        <v/>
      </c>
      <c r="H189" s="348">
        <v>21</v>
      </c>
      <c r="I189" s="29" t="s">
        <v>16</v>
      </c>
      <c r="J189" s="348">
        <v>21</v>
      </c>
      <c r="K189" s="7" t="str">
        <f t="shared" si="75"/>
        <v/>
      </c>
      <c r="L189" s="348">
        <v>21</v>
      </c>
      <c r="M189" s="7" t="str">
        <f t="shared" si="76"/>
        <v/>
      </c>
      <c r="N189" s="38"/>
      <c r="O189" s="39" t="s">
        <v>0</v>
      </c>
      <c r="P189" s="38"/>
      <c r="Q189" s="38"/>
      <c r="R189" s="39" t="s">
        <v>0</v>
      </c>
      <c r="S189" s="38"/>
      <c r="T189" s="38"/>
      <c r="U189" s="39" t="s">
        <v>0</v>
      </c>
      <c r="V189" s="38"/>
      <c r="W189" s="37"/>
      <c r="X189" s="37" t="str">
        <f t="shared" si="77"/>
        <v/>
      </c>
      <c r="Y189" s="39" t="s">
        <v>0</v>
      </c>
      <c r="Z189" s="37" t="str">
        <f t="shared" si="78"/>
        <v/>
      </c>
      <c r="AA189" s="37"/>
      <c r="AB189" s="37" t="str">
        <f t="shared" si="79"/>
        <v/>
      </c>
      <c r="AC189" s="39" t="s">
        <v>0</v>
      </c>
      <c r="AD189" s="37" t="str">
        <f t="shared" si="80"/>
        <v/>
      </c>
      <c r="AE189" s="56"/>
      <c r="AF189" s="37" t="str">
        <f t="shared" si="81"/>
        <v/>
      </c>
      <c r="AG189" s="39" t="s">
        <v>0</v>
      </c>
      <c r="AH189" s="37" t="str">
        <f t="shared" si="82"/>
        <v/>
      </c>
      <c r="AJ189" s="4" t="str">
        <f t="shared" si="72"/>
        <v>Ort</v>
      </c>
    </row>
    <row r="190" spans="1:44" ht="15.75" hidden="1">
      <c r="A190" s="3" t="str">
        <f t="shared" si="73"/>
        <v/>
      </c>
      <c r="B190" s="349" t="str">
        <f t="shared" si="71"/>
        <v>00.00.2018</v>
      </c>
      <c r="C190" s="352" t="s">
        <v>75</v>
      </c>
      <c r="D190" s="353">
        <v>15</v>
      </c>
      <c r="E190" s="354">
        <v>1</v>
      </c>
      <c r="F190" s="354" t="str">
        <f>IF(H190&lt;21,COUNTIF(H$6:H190,"&lt;21"),"")</f>
        <v/>
      </c>
      <c r="G190" s="7" t="str">
        <f t="shared" si="74"/>
        <v/>
      </c>
      <c r="H190" s="361">
        <v>21</v>
      </c>
      <c r="I190" s="29" t="s">
        <v>16</v>
      </c>
      <c r="J190" s="361">
        <v>21</v>
      </c>
      <c r="K190" s="7" t="str">
        <f t="shared" si="75"/>
        <v/>
      </c>
      <c r="L190" s="361">
        <v>21</v>
      </c>
      <c r="M190" s="355" t="str">
        <f t="shared" si="76"/>
        <v/>
      </c>
      <c r="N190" s="357"/>
      <c r="O190" s="358" t="s">
        <v>0</v>
      </c>
      <c r="P190" s="357"/>
      <c r="Q190" s="357"/>
      <c r="R190" s="358" t="s">
        <v>0</v>
      </c>
      <c r="S190" s="357"/>
      <c r="T190" s="357"/>
      <c r="U190" s="358" t="s">
        <v>0</v>
      </c>
      <c r="V190" s="357"/>
      <c r="W190" s="359"/>
      <c r="X190" s="359" t="str">
        <f t="shared" si="77"/>
        <v/>
      </c>
      <c r="Y190" s="358" t="s">
        <v>0</v>
      </c>
      <c r="Z190" s="359" t="str">
        <f t="shared" si="78"/>
        <v/>
      </c>
      <c r="AA190" s="359"/>
      <c r="AB190" s="359" t="str">
        <f t="shared" si="79"/>
        <v/>
      </c>
      <c r="AC190" s="358" t="s">
        <v>0</v>
      </c>
      <c r="AD190" s="359" t="str">
        <f t="shared" si="80"/>
        <v/>
      </c>
      <c r="AE190" s="360"/>
      <c r="AF190" s="359" t="str">
        <f t="shared" si="81"/>
        <v/>
      </c>
      <c r="AG190" s="358" t="s">
        <v>0</v>
      </c>
      <c r="AH190" s="359" t="str">
        <f t="shared" si="82"/>
        <v/>
      </c>
      <c r="AJ190" s="4" t="str">
        <f t="shared" si="72"/>
        <v>Ort</v>
      </c>
    </row>
    <row r="191" spans="1:44" ht="15.75" hidden="1">
      <c r="A191" s="3" t="str">
        <f t="shared" si="73"/>
        <v/>
      </c>
      <c r="B191" s="349" t="str">
        <f t="shared" si="71"/>
        <v>00.00.2018</v>
      </c>
      <c r="C191" s="40" t="s">
        <v>75</v>
      </c>
      <c r="D191" s="41">
        <v>16</v>
      </c>
      <c r="E191" s="3">
        <v>1</v>
      </c>
      <c r="F191" s="354" t="str">
        <f>IF(H191&lt;21,COUNTIF(H$6:H191,"&lt;21"),"")</f>
        <v/>
      </c>
      <c r="G191" s="7" t="str">
        <f t="shared" si="74"/>
        <v/>
      </c>
      <c r="H191" s="348">
        <v>21</v>
      </c>
      <c r="I191" s="29" t="s">
        <v>16</v>
      </c>
      <c r="J191" s="348">
        <v>21</v>
      </c>
      <c r="K191" s="7" t="str">
        <f t="shared" si="75"/>
        <v/>
      </c>
      <c r="L191" s="348">
        <v>21</v>
      </c>
      <c r="M191" s="7" t="str">
        <f t="shared" si="76"/>
        <v/>
      </c>
      <c r="N191" s="38"/>
      <c r="O191" s="39" t="s">
        <v>0</v>
      </c>
      <c r="P191" s="38"/>
      <c r="Q191" s="38"/>
      <c r="R191" s="39" t="s">
        <v>0</v>
      </c>
      <c r="S191" s="38"/>
      <c r="T191" s="38"/>
      <c r="U191" s="39" t="s">
        <v>0</v>
      </c>
      <c r="V191" s="38"/>
      <c r="W191" s="37"/>
      <c r="X191" s="37" t="str">
        <f t="shared" si="77"/>
        <v/>
      </c>
      <c r="Y191" s="39" t="s">
        <v>0</v>
      </c>
      <c r="Z191" s="37" t="str">
        <f t="shared" si="78"/>
        <v/>
      </c>
      <c r="AA191" s="37"/>
      <c r="AB191" s="37" t="str">
        <f t="shared" si="79"/>
        <v/>
      </c>
      <c r="AC191" s="39" t="s">
        <v>0</v>
      </c>
      <c r="AD191" s="37" t="str">
        <f t="shared" si="80"/>
        <v/>
      </c>
      <c r="AE191" s="56"/>
      <c r="AF191" s="37" t="str">
        <f t="shared" si="81"/>
        <v/>
      </c>
      <c r="AG191" s="39" t="s">
        <v>0</v>
      </c>
      <c r="AH191" s="37" t="str">
        <f t="shared" si="82"/>
        <v/>
      </c>
      <c r="AJ191" s="4" t="str">
        <f t="shared" si="72"/>
        <v>Ort</v>
      </c>
      <c r="AM191" s="30"/>
      <c r="AN191" s="30"/>
    </row>
    <row r="192" spans="1:44" ht="15.75" hidden="1">
      <c r="A192" s="3" t="str">
        <f t="shared" si="73"/>
        <v/>
      </c>
      <c r="B192" s="349" t="str">
        <f t="shared" si="71"/>
        <v>00.00.2018</v>
      </c>
      <c r="C192" s="40" t="s">
        <v>75</v>
      </c>
      <c r="D192" s="41"/>
      <c r="E192" s="3">
        <v>1</v>
      </c>
      <c r="F192" s="354" t="str">
        <f>IF(H192&lt;21,COUNTIF(H$6:H192,"&lt;21"),"")</f>
        <v/>
      </c>
      <c r="G192" s="7" t="str">
        <f t="shared" si="74"/>
        <v/>
      </c>
      <c r="H192" s="348">
        <v>21</v>
      </c>
      <c r="I192" s="29" t="s">
        <v>16</v>
      </c>
      <c r="J192" s="348">
        <v>21</v>
      </c>
      <c r="K192" s="7" t="str">
        <f t="shared" si="75"/>
        <v/>
      </c>
      <c r="L192" s="348">
        <v>21</v>
      </c>
      <c r="M192" s="7" t="str">
        <f t="shared" si="76"/>
        <v/>
      </c>
      <c r="N192" s="38"/>
      <c r="O192" s="39" t="s">
        <v>0</v>
      </c>
      <c r="P192" s="38"/>
      <c r="Q192" s="38"/>
      <c r="R192" s="39" t="s">
        <v>0</v>
      </c>
      <c r="S192" s="38"/>
      <c r="T192" s="38"/>
      <c r="U192" s="39" t="s">
        <v>0</v>
      </c>
      <c r="V192" s="38"/>
      <c r="W192" s="37"/>
      <c r="X192" s="37" t="str">
        <f t="shared" si="77"/>
        <v/>
      </c>
      <c r="Y192" s="39" t="s">
        <v>0</v>
      </c>
      <c r="Z192" s="37" t="str">
        <f t="shared" si="78"/>
        <v/>
      </c>
      <c r="AA192" s="37"/>
      <c r="AB192" s="37" t="str">
        <f t="shared" si="79"/>
        <v/>
      </c>
      <c r="AC192" s="39" t="s">
        <v>0</v>
      </c>
      <c r="AD192" s="37" t="str">
        <f t="shared" si="80"/>
        <v/>
      </c>
      <c r="AE192" s="56"/>
      <c r="AF192" s="37" t="str">
        <f t="shared" si="81"/>
        <v/>
      </c>
      <c r="AG192" s="39" t="s">
        <v>0</v>
      </c>
      <c r="AH192" s="37" t="str">
        <f t="shared" si="82"/>
        <v/>
      </c>
      <c r="AJ192" s="4" t="str">
        <f t="shared" si="72"/>
        <v>Ort</v>
      </c>
    </row>
    <row r="193" spans="1:40" ht="15.75" hidden="1">
      <c r="A193" s="3" t="str">
        <f t="shared" si="73"/>
        <v/>
      </c>
      <c r="B193" s="349" t="str">
        <f t="shared" si="71"/>
        <v>00.00.2018</v>
      </c>
      <c r="C193" s="40" t="s">
        <v>75</v>
      </c>
      <c r="D193" s="41"/>
      <c r="E193" s="3">
        <v>1</v>
      </c>
      <c r="F193" s="354" t="str">
        <f>IF(H193&lt;21,COUNTIF(H$6:H193,"&lt;21"),"")</f>
        <v/>
      </c>
      <c r="G193" s="7" t="str">
        <f t="shared" si="74"/>
        <v/>
      </c>
      <c r="H193" s="348">
        <v>21</v>
      </c>
      <c r="I193" s="29" t="s">
        <v>16</v>
      </c>
      <c r="J193" s="348">
        <v>21</v>
      </c>
      <c r="K193" s="7" t="str">
        <f t="shared" si="75"/>
        <v/>
      </c>
      <c r="L193" s="348">
        <v>21</v>
      </c>
      <c r="M193" s="7" t="str">
        <f t="shared" si="76"/>
        <v/>
      </c>
      <c r="N193" s="38"/>
      <c r="O193" s="39" t="s">
        <v>0</v>
      </c>
      <c r="P193" s="38"/>
      <c r="Q193" s="38"/>
      <c r="R193" s="39" t="s">
        <v>0</v>
      </c>
      <c r="S193" s="38"/>
      <c r="T193" s="38"/>
      <c r="U193" s="39" t="s">
        <v>0</v>
      </c>
      <c r="V193" s="38"/>
      <c r="W193" s="37"/>
      <c r="X193" s="37" t="str">
        <f t="shared" si="77"/>
        <v/>
      </c>
      <c r="Y193" s="39" t="s">
        <v>0</v>
      </c>
      <c r="Z193" s="37" t="str">
        <f t="shared" si="78"/>
        <v/>
      </c>
      <c r="AA193" s="37"/>
      <c r="AB193" s="37" t="str">
        <f t="shared" si="79"/>
        <v/>
      </c>
      <c r="AC193" s="39" t="s">
        <v>0</v>
      </c>
      <c r="AD193" s="37" t="str">
        <f t="shared" si="80"/>
        <v/>
      </c>
      <c r="AE193" s="56"/>
      <c r="AF193" s="37" t="str">
        <f t="shared" si="81"/>
        <v/>
      </c>
      <c r="AG193" s="39" t="s">
        <v>0</v>
      </c>
      <c r="AH193" s="37" t="str">
        <f t="shared" si="82"/>
        <v/>
      </c>
      <c r="AJ193" s="4" t="str">
        <f t="shared" si="72"/>
        <v>Ort</v>
      </c>
    </row>
    <row r="194" spans="1:40" ht="15.75" hidden="1">
      <c r="A194" s="3" t="str">
        <f t="shared" si="73"/>
        <v/>
      </c>
      <c r="B194" s="349" t="str">
        <f t="shared" si="71"/>
        <v>00.00.2018</v>
      </c>
      <c r="C194" s="40" t="s">
        <v>75</v>
      </c>
      <c r="D194" s="41"/>
      <c r="E194" s="3">
        <v>1</v>
      </c>
      <c r="F194" s="354" t="str">
        <f>IF(H194&lt;21,COUNTIF(H$6:H194,"&lt;21"),"")</f>
        <v/>
      </c>
      <c r="G194" s="7" t="str">
        <f t="shared" si="74"/>
        <v/>
      </c>
      <c r="H194" s="348">
        <v>21</v>
      </c>
      <c r="I194" s="29" t="s">
        <v>16</v>
      </c>
      <c r="J194" s="348">
        <v>21</v>
      </c>
      <c r="K194" s="7" t="str">
        <f t="shared" si="75"/>
        <v/>
      </c>
      <c r="L194" s="348">
        <v>21</v>
      </c>
      <c r="M194" s="7" t="str">
        <f t="shared" si="76"/>
        <v/>
      </c>
      <c r="N194" s="38"/>
      <c r="O194" s="39" t="s">
        <v>0</v>
      </c>
      <c r="P194" s="38"/>
      <c r="Q194" s="38"/>
      <c r="R194" s="39" t="s">
        <v>0</v>
      </c>
      <c r="S194" s="38"/>
      <c r="T194" s="38"/>
      <c r="U194" s="39" t="s">
        <v>0</v>
      </c>
      <c r="V194" s="38"/>
      <c r="W194" s="37"/>
      <c r="X194" s="37" t="str">
        <f t="shared" si="77"/>
        <v/>
      </c>
      <c r="Y194" s="39" t="s">
        <v>0</v>
      </c>
      <c r="Z194" s="37" t="str">
        <f t="shared" si="78"/>
        <v/>
      </c>
      <c r="AA194" s="37"/>
      <c r="AB194" s="37" t="str">
        <f t="shared" si="79"/>
        <v/>
      </c>
      <c r="AC194" s="39" t="s">
        <v>0</v>
      </c>
      <c r="AD194" s="37" t="str">
        <f t="shared" si="80"/>
        <v/>
      </c>
      <c r="AE194" s="56"/>
      <c r="AF194" s="37" t="str">
        <f t="shared" si="81"/>
        <v/>
      </c>
      <c r="AG194" s="39" t="s">
        <v>0</v>
      </c>
      <c r="AH194" s="37" t="str">
        <f t="shared" si="82"/>
        <v/>
      </c>
      <c r="AJ194" s="4" t="str">
        <f t="shared" si="72"/>
        <v>Ort</v>
      </c>
    </row>
    <row r="195" spans="1:40" ht="15.75" hidden="1">
      <c r="A195" s="3" t="str">
        <f t="shared" si="73"/>
        <v/>
      </c>
      <c r="B195" s="349" t="str">
        <f t="shared" si="71"/>
        <v>00.00.2018</v>
      </c>
      <c r="C195" s="40" t="s">
        <v>75</v>
      </c>
      <c r="D195" s="41"/>
      <c r="E195" s="3">
        <v>1</v>
      </c>
      <c r="F195" s="354" t="str">
        <f>IF(H195&lt;21,COUNTIF(H$6:H195,"&lt;21"),"")</f>
        <v/>
      </c>
      <c r="G195" s="7" t="str">
        <f t="shared" si="74"/>
        <v/>
      </c>
      <c r="H195" s="348">
        <v>21</v>
      </c>
      <c r="I195" s="29" t="s">
        <v>16</v>
      </c>
      <c r="J195" s="348">
        <v>21</v>
      </c>
      <c r="K195" s="7" t="str">
        <f t="shared" si="75"/>
        <v/>
      </c>
      <c r="L195" s="348">
        <v>21</v>
      </c>
      <c r="M195" s="7" t="str">
        <f t="shared" si="76"/>
        <v/>
      </c>
      <c r="N195" s="38"/>
      <c r="O195" s="39" t="s">
        <v>0</v>
      </c>
      <c r="P195" s="38"/>
      <c r="Q195" s="38"/>
      <c r="R195" s="39" t="s">
        <v>0</v>
      </c>
      <c r="S195" s="38"/>
      <c r="T195" s="38"/>
      <c r="U195" s="39" t="s">
        <v>0</v>
      </c>
      <c r="V195" s="38"/>
      <c r="W195" s="37"/>
      <c r="X195" s="37" t="str">
        <f t="shared" si="77"/>
        <v/>
      </c>
      <c r="Y195" s="39" t="s">
        <v>0</v>
      </c>
      <c r="Z195" s="37" t="str">
        <f t="shared" si="78"/>
        <v/>
      </c>
      <c r="AA195" s="37"/>
      <c r="AB195" s="37" t="str">
        <f t="shared" si="79"/>
        <v/>
      </c>
      <c r="AC195" s="39" t="s">
        <v>0</v>
      </c>
      <c r="AD195" s="37" t="str">
        <f t="shared" si="80"/>
        <v/>
      </c>
      <c r="AE195" s="56"/>
      <c r="AF195" s="37" t="str">
        <f t="shared" si="81"/>
        <v/>
      </c>
      <c r="AG195" s="39" t="s">
        <v>0</v>
      </c>
      <c r="AH195" s="37" t="str">
        <f t="shared" si="82"/>
        <v/>
      </c>
      <c r="AJ195" s="4" t="str">
        <f t="shared" si="72"/>
        <v>Ort</v>
      </c>
    </row>
    <row r="196" spans="1:40" ht="15.75" hidden="1">
      <c r="A196" s="3" t="str">
        <f t="shared" si="73"/>
        <v/>
      </c>
      <c r="B196" s="349" t="str">
        <f t="shared" si="71"/>
        <v>00.00.2018</v>
      </c>
      <c r="C196" s="40" t="s">
        <v>75</v>
      </c>
      <c r="D196" s="41"/>
      <c r="E196" s="3">
        <v>1</v>
      </c>
      <c r="F196" s="354" t="str">
        <f>IF(H196&lt;21,COUNTIF(H$6:H196,"&lt;21"),"")</f>
        <v/>
      </c>
      <c r="G196" s="7" t="str">
        <f t="shared" si="74"/>
        <v/>
      </c>
      <c r="H196" s="348">
        <v>21</v>
      </c>
      <c r="I196" s="29" t="s">
        <v>16</v>
      </c>
      <c r="J196" s="348">
        <v>21</v>
      </c>
      <c r="K196" s="7" t="str">
        <f t="shared" si="75"/>
        <v/>
      </c>
      <c r="L196" s="348">
        <v>21</v>
      </c>
      <c r="M196" s="7" t="str">
        <f t="shared" si="76"/>
        <v/>
      </c>
      <c r="N196" s="38"/>
      <c r="O196" s="39" t="s">
        <v>0</v>
      </c>
      <c r="P196" s="38"/>
      <c r="Q196" s="38"/>
      <c r="R196" s="39" t="s">
        <v>0</v>
      </c>
      <c r="S196" s="38"/>
      <c r="T196" s="38"/>
      <c r="U196" s="39" t="s">
        <v>0</v>
      </c>
      <c r="V196" s="38"/>
      <c r="W196" s="37"/>
      <c r="X196" s="37" t="str">
        <f t="shared" si="77"/>
        <v/>
      </c>
      <c r="Y196" s="39" t="s">
        <v>0</v>
      </c>
      <c r="Z196" s="37" t="str">
        <f t="shared" si="78"/>
        <v/>
      </c>
      <c r="AA196" s="37"/>
      <c r="AB196" s="37" t="str">
        <f t="shared" si="79"/>
        <v/>
      </c>
      <c r="AC196" s="39" t="s">
        <v>0</v>
      </c>
      <c r="AD196" s="37" t="str">
        <f t="shared" si="80"/>
        <v/>
      </c>
      <c r="AE196" s="56"/>
      <c r="AF196" s="37" t="str">
        <f t="shared" si="81"/>
        <v/>
      </c>
      <c r="AG196" s="39" t="s">
        <v>0</v>
      </c>
      <c r="AH196" s="37" t="str">
        <f t="shared" si="82"/>
        <v/>
      </c>
      <c r="AJ196" s="4" t="str">
        <f t="shared" si="72"/>
        <v>Ort</v>
      </c>
    </row>
    <row r="197" spans="1:40" ht="15.75" hidden="1">
      <c r="A197" s="3" t="str">
        <f t="shared" si="73"/>
        <v/>
      </c>
      <c r="B197" s="349" t="str">
        <f t="shared" si="71"/>
        <v>00.00.2018</v>
      </c>
      <c r="C197" s="40" t="s">
        <v>75</v>
      </c>
      <c r="D197" s="41"/>
      <c r="E197" s="3">
        <v>1</v>
      </c>
      <c r="F197" s="354" t="str">
        <f>IF(H197&lt;21,COUNTIF(H$6:H197,"&lt;21"),"")</f>
        <v/>
      </c>
      <c r="G197" s="7" t="str">
        <f t="shared" si="74"/>
        <v/>
      </c>
      <c r="H197" s="348">
        <v>21</v>
      </c>
      <c r="I197" s="29" t="s">
        <v>16</v>
      </c>
      <c r="J197" s="348">
        <v>21</v>
      </c>
      <c r="K197" s="7" t="str">
        <f t="shared" si="75"/>
        <v/>
      </c>
      <c r="L197" s="348">
        <v>21</v>
      </c>
      <c r="M197" s="7" t="str">
        <f t="shared" si="76"/>
        <v/>
      </c>
      <c r="N197" s="38"/>
      <c r="O197" s="39" t="s">
        <v>0</v>
      </c>
      <c r="P197" s="38"/>
      <c r="Q197" s="38"/>
      <c r="R197" s="39" t="s">
        <v>0</v>
      </c>
      <c r="S197" s="38"/>
      <c r="T197" s="38"/>
      <c r="U197" s="39" t="s">
        <v>0</v>
      </c>
      <c r="V197" s="38"/>
      <c r="W197" s="37"/>
      <c r="X197" s="37" t="str">
        <f t="shared" si="77"/>
        <v/>
      </c>
      <c r="Y197" s="39" t="s">
        <v>0</v>
      </c>
      <c r="Z197" s="37" t="str">
        <f t="shared" si="78"/>
        <v/>
      </c>
      <c r="AA197" s="37"/>
      <c r="AB197" s="37" t="str">
        <f t="shared" si="79"/>
        <v/>
      </c>
      <c r="AC197" s="39" t="s">
        <v>0</v>
      </c>
      <c r="AD197" s="37" t="str">
        <f t="shared" si="80"/>
        <v/>
      </c>
      <c r="AE197" s="56"/>
      <c r="AF197" s="37" t="str">
        <f t="shared" si="81"/>
        <v/>
      </c>
      <c r="AG197" s="39" t="s">
        <v>0</v>
      </c>
      <c r="AH197" s="37" t="str">
        <f t="shared" si="82"/>
        <v/>
      </c>
      <c r="AJ197" s="4" t="str">
        <f t="shared" si="72"/>
        <v>Ort</v>
      </c>
    </row>
    <row r="198" spans="1:40" ht="15.75" hidden="1">
      <c r="A198" s="3" t="str">
        <f t="shared" si="73"/>
        <v/>
      </c>
      <c r="B198" s="349" t="str">
        <f t="shared" si="71"/>
        <v>00.00.2018</v>
      </c>
      <c r="C198" s="40" t="s">
        <v>75</v>
      </c>
      <c r="D198" s="41"/>
      <c r="E198" s="3">
        <v>1</v>
      </c>
      <c r="F198" s="354" t="str">
        <f>IF(H198&lt;21,COUNTIF(H$6:H198,"&lt;21"),"")</f>
        <v/>
      </c>
      <c r="G198" s="7" t="str">
        <f t="shared" si="74"/>
        <v/>
      </c>
      <c r="H198" s="348">
        <v>21</v>
      </c>
      <c r="I198" s="29" t="s">
        <v>16</v>
      </c>
      <c r="J198" s="348">
        <v>21</v>
      </c>
      <c r="K198" s="7" t="str">
        <f t="shared" si="75"/>
        <v/>
      </c>
      <c r="L198" s="348">
        <v>21</v>
      </c>
      <c r="M198" s="7" t="str">
        <f t="shared" si="76"/>
        <v/>
      </c>
      <c r="N198" s="38"/>
      <c r="O198" s="39" t="s">
        <v>0</v>
      </c>
      <c r="P198" s="38"/>
      <c r="Q198" s="38"/>
      <c r="R198" s="39" t="s">
        <v>0</v>
      </c>
      <c r="S198" s="38"/>
      <c r="T198" s="38"/>
      <c r="U198" s="39" t="s">
        <v>0</v>
      </c>
      <c r="V198" s="38"/>
      <c r="W198" s="37"/>
      <c r="X198" s="37" t="str">
        <f t="shared" si="77"/>
        <v/>
      </c>
      <c r="Y198" s="39" t="s">
        <v>0</v>
      </c>
      <c r="Z198" s="37" t="str">
        <f t="shared" si="78"/>
        <v/>
      </c>
      <c r="AA198" s="37"/>
      <c r="AB198" s="37" t="str">
        <f t="shared" si="79"/>
        <v/>
      </c>
      <c r="AC198" s="39" t="s">
        <v>0</v>
      </c>
      <c r="AD198" s="37" t="str">
        <f t="shared" si="80"/>
        <v/>
      </c>
      <c r="AE198" s="56"/>
      <c r="AF198" s="37" t="str">
        <f t="shared" si="81"/>
        <v/>
      </c>
      <c r="AG198" s="39" t="s">
        <v>0</v>
      </c>
      <c r="AH198" s="37" t="str">
        <f t="shared" si="82"/>
        <v/>
      </c>
      <c r="AJ198" s="4" t="str">
        <f t="shared" si="72"/>
        <v>Ort</v>
      </c>
    </row>
    <row r="199" spans="1:40" ht="15.75" hidden="1">
      <c r="A199" s="3" t="str">
        <f t="shared" si="73"/>
        <v/>
      </c>
      <c r="B199" s="349" t="str">
        <f t="shared" si="71"/>
        <v>00.00.2018</v>
      </c>
      <c r="C199" s="40" t="s">
        <v>75</v>
      </c>
      <c r="D199" s="41"/>
      <c r="E199" s="3">
        <v>1</v>
      </c>
      <c r="F199" s="354" t="str">
        <f>IF(H199&lt;21,COUNTIF(H$6:H199,"&lt;21"),"")</f>
        <v/>
      </c>
      <c r="G199" s="7" t="str">
        <f t="shared" si="74"/>
        <v/>
      </c>
      <c r="H199" s="348">
        <v>21</v>
      </c>
      <c r="I199" s="29" t="s">
        <v>16</v>
      </c>
      <c r="J199" s="348">
        <v>21</v>
      </c>
      <c r="K199" s="7" t="str">
        <f t="shared" si="75"/>
        <v/>
      </c>
      <c r="L199" s="348">
        <v>21</v>
      </c>
      <c r="M199" s="7" t="str">
        <f t="shared" si="76"/>
        <v/>
      </c>
      <c r="N199" s="38"/>
      <c r="O199" s="39" t="s">
        <v>0</v>
      </c>
      <c r="P199" s="38"/>
      <c r="Q199" s="38"/>
      <c r="R199" s="39" t="s">
        <v>0</v>
      </c>
      <c r="S199" s="38"/>
      <c r="T199" s="38"/>
      <c r="U199" s="39" t="s">
        <v>0</v>
      </c>
      <c r="V199" s="38"/>
      <c r="W199" s="37"/>
      <c r="X199" s="37" t="str">
        <f t="shared" si="77"/>
        <v/>
      </c>
      <c r="Y199" s="39" t="s">
        <v>0</v>
      </c>
      <c r="Z199" s="37" t="str">
        <f t="shared" si="78"/>
        <v/>
      </c>
      <c r="AA199" s="37"/>
      <c r="AB199" s="37" t="str">
        <f t="shared" si="79"/>
        <v/>
      </c>
      <c r="AC199" s="39" t="s">
        <v>0</v>
      </c>
      <c r="AD199" s="37" t="str">
        <f t="shared" si="80"/>
        <v/>
      </c>
      <c r="AE199" s="56"/>
      <c r="AF199" s="37" t="str">
        <f t="shared" si="81"/>
        <v/>
      </c>
      <c r="AG199" s="39" t="s">
        <v>0</v>
      </c>
      <c r="AH199" s="37" t="str">
        <f t="shared" si="82"/>
        <v/>
      </c>
      <c r="AJ199" s="4" t="str">
        <f t="shared" si="72"/>
        <v>Ort</v>
      </c>
    </row>
    <row r="200" spans="1:40" ht="15.75" hidden="1">
      <c r="A200" s="3" t="str">
        <f t="shared" si="73"/>
        <v/>
      </c>
      <c r="B200" s="349" t="str">
        <f t="shared" si="71"/>
        <v>00.00.2018</v>
      </c>
      <c r="C200" s="40" t="s">
        <v>75</v>
      </c>
      <c r="D200" s="41"/>
      <c r="E200" s="3">
        <v>1</v>
      </c>
      <c r="F200" s="354" t="str">
        <f>IF(H200&lt;21,COUNTIF(H$6:H200,"&lt;21"),"")</f>
        <v/>
      </c>
      <c r="G200" s="7" t="str">
        <f t="shared" si="74"/>
        <v/>
      </c>
      <c r="H200" s="348">
        <v>21</v>
      </c>
      <c r="I200" s="29" t="s">
        <v>16</v>
      </c>
      <c r="J200" s="348">
        <v>21</v>
      </c>
      <c r="K200" s="7" t="str">
        <f t="shared" si="75"/>
        <v/>
      </c>
      <c r="L200" s="348">
        <v>21</v>
      </c>
      <c r="M200" s="7" t="str">
        <f t="shared" si="76"/>
        <v/>
      </c>
      <c r="N200" s="38"/>
      <c r="O200" s="39" t="s">
        <v>0</v>
      </c>
      <c r="P200" s="38"/>
      <c r="Q200" s="38"/>
      <c r="R200" s="39" t="s">
        <v>0</v>
      </c>
      <c r="S200" s="38"/>
      <c r="T200" s="38"/>
      <c r="U200" s="39" t="s">
        <v>0</v>
      </c>
      <c r="V200" s="38"/>
      <c r="W200" s="37"/>
      <c r="X200" s="37" t="str">
        <f t="shared" si="77"/>
        <v/>
      </c>
      <c r="Y200" s="39" t="s">
        <v>0</v>
      </c>
      <c r="Z200" s="37" t="str">
        <f t="shared" si="78"/>
        <v/>
      </c>
      <c r="AA200" s="37"/>
      <c r="AB200" s="37" t="str">
        <f t="shared" si="79"/>
        <v/>
      </c>
      <c r="AC200" s="39" t="s">
        <v>0</v>
      </c>
      <c r="AD200" s="37" t="str">
        <f t="shared" si="80"/>
        <v/>
      </c>
      <c r="AE200" s="56"/>
      <c r="AF200" s="37" t="str">
        <f t="shared" si="81"/>
        <v/>
      </c>
      <c r="AG200" s="39" t="s">
        <v>0</v>
      </c>
      <c r="AH200" s="37" t="str">
        <f t="shared" si="82"/>
        <v/>
      </c>
      <c r="AJ200" s="4" t="str">
        <f t="shared" si="72"/>
        <v>Ort</v>
      </c>
    </row>
    <row r="201" spans="1:40" ht="15.75" hidden="1">
      <c r="A201" s="3" t="str">
        <f t="shared" si="73"/>
        <v/>
      </c>
      <c r="B201" s="349" t="str">
        <f t="shared" si="71"/>
        <v>00.00.2018</v>
      </c>
      <c r="C201" s="40" t="s">
        <v>75</v>
      </c>
      <c r="D201" s="41"/>
      <c r="E201" s="3">
        <v>1</v>
      </c>
      <c r="F201" s="354" t="str">
        <f>IF(H201&lt;21,COUNTIF(H$6:H201,"&lt;21"),"")</f>
        <v/>
      </c>
      <c r="G201" s="7" t="str">
        <f t="shared" si="74"/>
        <v/>
      </c>
      <c r="H201" s="348">
        <v>21</v>
      </c>
      <c r="I201" s="29" t="s">
        <v>16</v>
      </c>
      <c r="J201" s="348">
        <v>21</v>
      </c>
      <c r="K201" s="7" t="str">
        <f t="shared" si="75"/>
        <v/>
      </c>
      <c r="L201" s="348">
        <v>21</v>
      </c>
      <c r="M201" s="7" t="str">
        <f t="shared" si="76"/>
        <v/>
      </c>
      <c r="N201" s="38"/>
      <c r="O201" s="39" t="s">
        <v>0</v>
      </c>
      <c r="P201" s="38"/>
      <c r="Q201" s="38"/>
      <c r="R201" s="39" t="s">
        <v>0</v>
      </c>
      <c r="S201" s="38"/>
      <c r="T201" s="38"/>
      <c r="U201" s="39" t="s">
        <v>0</v>
      </c>
      <c r="V201" s="38"/>
      <c r="W201" s="37"/>
      <c r="X201" s="37" t="str">
        <f t="shared" si="77"/>
        <v/>
      </c>
      <c r="Y201" s="39" t="s">
        <v>0</v>
      </c>
      <c r="Z201" s="37" t="str">
        <f t="shared" si="78"/>
        <v/>
      </c>
      <c r="AA201" s="37"/>
      <c r="AB201" s="37" t="str">
        <f t="shared" si="79"/>
        <v/>
      </c>
      <c r="AC201" s="39" t="s">
        <v>0</v>
      </c>
      <c r="AD201" s="37" t="str">
        <f t="shared" si="80"/>
        <v/>
      </c>
      <c r="AE201" s="56"/>
      <c r="AF201" s="37" t="str">
        <f t="shared" si="81"/>
        <v/>
      </c>
      <c r="AG201" s="39" t="s">
        <v>0</v>
      </c>
      <c r="AH201" s="37" t="str">
        <f t="shared" si="82"/>
        <v/>
      </c>
      <c r="AJ201" s="4" t="str">
        <f t="shared" si="72"/>
        <v>Ort</v>
      </c>
    </row>
    <row r="202" spans="1:40" ht="15.75" hidden="1">
      <c r="A202" s="3" t="str">
        <f t="shared" si="73"/>
        <v/>
      </c>
      <c r="B202" s="349" t="str">
        <f t="shared" si="71"/>
        <v>00.00.2018</v>
      </c>
      <c r="C202" s="40" t="s">
        <v>75</v>
      </c>
      <c r="D202" s="41"/>
      <c r="E202" s="3">
        <v>1</v>
      </c>
      <c r="F202" s="354" t="str">
        <f>IF(H202&lt;21,COUNTIF(H$6:H202,"&lt;21"),"")</f>
        <v/>
      </c>
      <c r="G202" s="7" t="str">
        <f t="shared" si="74"/>
        <v/>
      </c>
      <c r="H202" s="348">
        <v>21</v>
      </c>
      <c r="I202" s="29" t="s">
        <v>16</v>
      </c>
      <c r="J202" s="348">
        <v>21</v>
      </c>
      <c r="K202" s="7" t="str">
        <f t="shared" si="75"/>
        <v/>
      </c>
      <c r="L202" s="348">
        <v>21</v>
      </c>
      <c r="M202" s="7" t="str">
        <f t="shared" si="76"/>
        <v/>
      </c>
      <c r="N202" s="38"/>
      <c r="O202" s="39" t="s">
        <v>0</v>
      </c>
      <c r="P202" s="38"/>
      <c r="Q202" s="38"/>
      <c r="R202" s="39" t="s">
        <v>0</v>
      </c>
      <c r="S202" s="38"/>
      <c r="T202" s="38"/>
      <c r="U202" s="39" t="s">
        <v>0</v>
      </c>
      <c r="V202" s="38"/>
      <c r="W202" s="37"/>
      <c r="X202" s="37" t="str">
        <f t="shared" si="77"/>
        <v/>
      </c>
      <c r="Y202" s="39" t="s">
        <v>0</v>
      </c>
      <c r="Z202" s="37" t="str">
        <f t="shared" si="78"/>
        <v/>
      </c>
      <c r="AA202" s="37"/>
      <c r="AB202" s="37" t="str">
        <f t="shared" si="79"/>
        <v/>
      </c>
      <c r="AC202" s="39" t="s">
        <v>0</v>
      </c>
      <c r="AD202" s="37" t="str">
        <f t="shared" si="80"/>
        <v/>
      </c>
      <c r="AE202" s="56"/>
      <c r="AF202" s="37" t="str">
        <f t="shared" si="81"/>
        <v/>
      </c>
      <c r="AG202" s="39" t="s">
        <v>0</v>
      </c>
      <c r="AH202" s="37" t="str">
        <f t="shared" si="82"/>
        <v/>
      </c>
      <c r="AJ202" s="4" t="str">
        <f t="shared" si="72"/>
        <v>Ort</v>
      </c>
    </row>
    <row r="203" spans="1:40" ht="15.75" hidden="1">
      <c r="A203" s="3" t="str">
        <f t="shared" si="73"/>
        <v/>
      </c>
      <c r="B203" s="349" t="str">
        <f t="shared" si="71"/>
        <v>00.00.2018</v>
      </c>
      <c r="C203" s="40" t="s">
        <v>75</v>
      </c>
      <c r="D203" s="41"/>
      <c r="E203" s="3">
        <v>1</v>
      </c>
      <c r="F203" s="354" t="str">
        <f>IF(H203&lt;21,COUNTIF(H$6:H203,"&lt;21"),"")</f>
        <v/>
      </c>
      <c r="G203" s="7" t="str">
        <f t="shared" si="74"/>
        <v/>
      </c>
      <c r="H203" s="348">
        <v>21</v>
      </c>
      <c r="I203" s="29" t="s">
        <v>16</v>
      </c>
      <c r="J203" s="348">
        <v>21</v>
      </c>
      <c r="K203" s="7" t="str">
        <f t="shared" si="75"/>
        <v/>
      </c>
      <c r="L203" s="348">
        <v>21</v>
      </c>
      <c r="M203" s="7" t="str">
        <f t="shared" si="76"/>
        <v/>
      </c>
      <c r="N203" s="38"/>
      <c r="O203" s="39" t="s">
        <v>0</v>
      </c>
      <c r="P203" s="38"/>
      <c r="Q203" s="38"/>
      <c r="R203" s="39" t="s">
        <v>0</v>
      </c>
      <c r="S203" s="38"/>
      <c r="T203" s="38"/>
      <c r="U203" s="39" t="s">
        <v>0</v>
      </c>
      <c r="V203" s="38"/>
      <c r="W203" s="37"/>
      <c r="X203" s="37" t="str">
        <f t="shared" si="77"/>
        <v/>
      </c>
      <c r="Y203" s="39" t="s">
        <v>0</v>
      </c>
      <c r="Z203" s="37" t="str">
        <f t="shared" si="78"/>
        <v/>
      </c>
      <c r="AA203" s="37"/>
      <c r="AB203" s="37" t="str">
        <f t="shared" si="79"/>
        <v/>
      </c>
      <c r="AC203" s="39" t="s">
        <v>0</v>
      </c>
      <c r="AD203" s="37" t="str">
        <f t="shared" si="80"/>
        <v/>
      </c>
      <c r="AE203" s="56"/>
      <c r="AF203" s="37" t="str">
        <f t="shared" si="81"/>
        <v/>
      </c>
      <c r="AG203" s="39" t="s">
        <v>0</v>
      </c>
      <c r="AH203" s="37" t="str">
        <f t="shared" si="82"/>
        <v/>
      </c>
      <c r="AJ203" s="4" t="str">
        <f t="shared" si="72"/>
        <v>Ort</v>
      </c>
    </row>
    <row r="204" spans="1:40" ht="15.75" hidden="1">
      <c r="A204" s="3" t="str">
        <f t="shared" si="73"/>
        <v/>
      </c>
      <c r="B204" s="349" t="str">
        <f t="shared" si="71"/>
        <v>00.00.2018</v>
      </c>
      <c r="C204" s="40" t="s">
        <v>75</v>
      </c>
      <c r="D204" s="41"/>
      <c r="E204" s="3">
        <v>1</v>
      </c>
      <c r="F204" s="354" t="str">
        <f>IF(H204&lt;21,COUNTIF(H$6:H204,"&lt;21"),"")</f>
        <v/>
      </c>
      <c r="G204" s="7" t="str">
        <f t="shared" si="74"/>
        <v/>
      </c>
      <c r="H204" s="348">
        <v>21</v>
      </c>
      <c r="I204" s="29" t="s">
        <v>16</v>
      </c>
      <c r="J204" s="348">
        <v>21</v>
      </c>
      <c r="K204" s="7" t="str">
        <f t="shared" si="75"/>
        <v/>
      </c>
      <c r="L204" s="348">
        <v>21</v>
      </c>
      <c r="M204" s="7" t="str">
        <f t="shared" si="76"/>
        <v/>
      </c>
      <c r="N204" s="38"/>
      <c r="O204" s="39" t="s">
        <v>0</v>
      </c>
      <c r="P204" s="38"/>
      <c r="Q204" s="38"/>
      <c r="R204" s="39" t="s">
        <v>0</v>
      </c>
      <c r="S204" s="38"/>
      <c r="T204" s="38"/>
      <c r="U204" s="39" t="s">
        <v>0</v>
      </c>
      <c r="V204" s="38"/>
      <c r="W204" s="37"/>
      <c r="X204" s="37" t="str">
        <f t="shared" si="77"/>
        <v/>
      </c>
      <c r="Y204" s="39" t="s">
        <v>0</v>
      </c>
      <c r="Z204" s="37" t="str">
        <f t="shared" si="78"/>
        <v/>
      </c>
      <c r="AA204" s="37"/>
      <c r="AB204" s="37" t="str">
        <f t="shared" si="79"/>
        <v/>
      </c>
      <c r="AC204" s="39" t="s">
        <v>0</v>
      </c>
      <c r="AD204" s="37" t="str">
        <f t="shared" si="80"/>
        <v/>
      </c>
      <c r="AE204" s="56"/>
      <c r="AF204" s="37" t="str">
        <f t="shared" si="81"/>
        <v/>
      </c>
      <c r="AG204" s="39" t="s">
        <v>0</v>
      </c>
      <c r="AH204" s="37" t="str">
        <f t="shared" si="82"/>
        <v/>
      </c>
      <c r="AJ204" s="4" t="str">
        <f t="shared" si="72"/>
        <v>Ort</v>
      </c>
    </row>
    <row r="205" spans="1:40" ht="15.75" hidden="1">
      <c r="A205" s="350" t="str">
        <f t="shared" si="73"/>
        <v/>
      </c>
      <c r="B205" s="349" t="str">
        <f t="shared" si="71"/>
        <v>00.00.2018</v>
      </c>
      <c r="C205" s="40" t="s">
        <v>75</v>
      </c>
      <c r="D205" s="41"/>
      <c r="E205" s="3">
        <v>1</v>
      </c>
      <c r="F205" s="354" t="str">
        <f>IF(H205&lt;21,COUNTIF(H$6:H205,"&lt;21"),"")</f>
        <v/>
      </c>
      <c r="G205" s="7" t="str">
        <f t="shared" si="74"/>
        <v/>
      </c>
      <c r="H205" s="348">
        <v>21</v>
      </c>
      <c r="I205" s="29" t="s">
        <v>16</v>
      </c>
      <c r="J205" s="348">
        <v>21</v>
      </c>
      <c r="K205" s="7" t="str">
        <f t="shared" si="75"/>
        <v/>
      </c>
      <c r="L205" s="348">
        <v>21</v>
      </c>
      <c r="M205" s="7" t="str">
        <f t="shared" si="76"/>
        <v/>
      </c>
      <c r="N205" s="38"/>
      <c r="O205" s="39" t="s">
        <v>0</v>
      </c>
      <c r="P205" s="38"/>
      <c r="Q205" s="38"/>
      <c r="R205" s="39" t="s">
        <v>0</v>
      </c>
      <c r="S205" s="38"/>
      <c r="T205" s="38"/>
      <c r="U205" s="39" t="s">
        <v>0</v>
      </c>
      <c r="V205" s="38"/>
      <c r="W205" s="37"/>
      <c r="X205" s="37" t="str">
        <f t="shared" si="77"/>
        <v/>
      </c>
      <c r="Y205" s="39" t="s">
        <v>0</v>
      </c>
      <c r="Z205" s="37" t="str">
        <f t="shared" si="78"/>
        <v/>
      </c>
      <c r="AA205" s="37"/>
      <c r="AB205" s="37" t="str">
        <f t="shared" si="79"/>
        <v/>
      </c>
      <c r="AC205" s="39" t="s">
        <v>0</v>
      </c>
      <c r="AD205" s="37" t="str">
        <f t="shared" si="80"/>
        <v/>
      </c>
      <c r="AE205" s="56"/>
      <c r="AF205" s="37" t="str">
        <f t="shared" si="81"/>
        <v/>
      </c>
      <c r="AG205" s="39" t="s">
        <v>0</v>
      </c>
      <c r="AH205" s="37" t="str">
        <f t="shared" si="82"/>
        <v/>
      </c>
      <c r="AJ205" s="4" t="str">
        <f t="shared" si="72"/>
        <v>Ort</v>
      </c>
    </row>
    <row r="206" spans="1:40">
      <c r="A206" s="351"/>
      <c r="W206" s="34"/>
      <c r="X206" s="34"/>
      <c r="Y206" s="34"/>
      <c r="Z206" s="34"/>
      <c r="AE206" s="57"/>
    </row>
    <row r="207" spans="1:40">
      <c r="A207" s="351"/>
      <c r="B207" s="149"/>
      <c r="W207" s="34"/>
      <c r="X207" s="34"/>
      <c r="Y207" s="34"/>
      <c r="Z207" s="34"/>
      <c r="AE207" s="57"/>
    </row>
    <row r="208" spans="1:40" s="17" customFormat="1" ht="20.25">
      <c r="C208" s="14"/>
      <c r="D208" s="15"/>
      <c r="E208" s="15"/>
      <c r="F208" s="16" t="s">
        <v>148</v>
      </c>
      <c r="I208" s="16"/>
      <c r="J208" s="16"/>
      <c r="K208" s="362" t="s">
        <v>145</v>
      </c>
      <c r="L208" s="362"/>
      <c r="M208" s="363" t="s">
        <v>146</v>
      </c>
      <c r="N208" s="14"/>
      <c r="O208" s="14"/>
      <c r="P208" s="364" t="s">
        <v>147</v>
      </c>
      <c r="Q208" s="14"/>
      <c r="R208" s="14"/>
      <c r="S208" s="14"/>
      <c r="T208" s="14"/>
      <c r="U208" s="14"/>
      <c r="V208" s="14"/>
      <c r="W208" s="35"/>
      <c r="X208" s="378"/>
      <c r="Y208" s="35"/>
      <c r="Z208" s="35"/>
      <c r="AA208" s="35"/>
      <c r="AB208" s="35"/>
      <c r="AC208" s="35"/>
      <c r="AD208" s="35"/>
      <c r="AE208" s="54"/>
      <c r="AF208" s="35"/>
      <c r="AG208" s="35"/>
      <c r="AH208" s="35"/>
      <c r="AM208" s="4"/>
      <c r="AN208" s="4"/>
    </row>
    <row r="209" spans="1:40" s="30" customFormat="1" ht="20.25">
      <c r="A209" s="147" t="s">
        <v>13</v>
      </c>
      <c r="B209" s="20" t="s">
        <v>83</v>
      </c>
      <c r="C209" s="25" t="s">
        <v>8</v>
      </c>
      <c r="D209" s="26" t="s">
        <v>4</v>
      </c>
      <c r="E209" s="26" t="s">
        <v>3</v>
      </c>
      <c r="F209" s="26" t="s">
        <v>13</v>
      </c>
      <c r="G209" s="347" t="s">
        <v>7</v>
      </c>
      <c r="H209" s="348" t="s">
        <v>24</v>
      </c>
      <c r="I209" s="29"/>
      <c r="J209" s="7" t="s">
        <v>25</v>
      </c>
      <c r="K209" s="347" t="s">
        <v>6</v>
      </c>
      <c r="L209" s="348" t="s">
        <v>76</v>
      </c>
      <c r="M209" s="29" t="s">
        <v>5</v>
      </c>
      <c r="N209" s="394" t="s">
        <v>29</v>
      </c>
      <c r="O209" s="394"/>
      <c r="P209" s="394"/>
      <c r="Q209" s="394" t="s">
        <v>30</v>
      </c>
      <c r="R209" s="394"/>
      <c r="S209" s="394"/>
      <c r="T209" s="394" t="s">
        <v>31</v>
      </c>
      <c r="U209" s="394"/>
      <c r="V209" s="394"/>
      <c r="W209" s="39"/>
      <c r="X209" s="395" t="s">
        <v>2</v>
      </c>
      <c r="Y209" s="395"/>
      <c r="Z209" s="395"/>
      <c r="AA209" s="39"/>
      <c r="AB209" s="395" t="s">
        <v>32</v>
      </c>
      <c r="AC209" s="395"/>
      <c r="AD209" s="395"/>
      <c r="AE209" s="55"/>
      <c r="AF209" s="395" t="s">
        <v>28</v>
      </c>
      <c r="AG209" s="395"/>
      <c r="AH209" s="395"/>
      <c r="AM209" s="17"/>
      <c r="AN209" s="17"/>
    </row>
    <row r="210" spans="1:40" ht="15.75">
      <c r="A210" s="3">
        <f>F210</f>
        <v>61</v>
      </c>
      <c r="B210" s="349" t="str">
        <f>K$208</f>
        <v>00.00.2018</v>
      </c>
      <c r="C210" s="366">
        <v>0.39583333333333331</v>
      </c>
      <c r="D210" s="353">
        <v>1</v>
      </c>
      <c r="E210" s="354">
        <v>1</v>
      </c>
      <c r="F210" s="354">
        <f>IF(H210&lt;21,COUNTIF(H$6:H210,"&lt;21"),"")</f>
        <v>61</v>
      </c>
      <c r="G210" s="355" t="str">
        <f>IF(H210=21,"",INDEX($AM$7:$AN$27,H210,2))</f>
        <v>Team 8</v>
      </c>
      <c r="H210" s="361">
        <v>8</v>
      </c>
      <c r="I210" s="379" t="s">
        <v>16</v>
      </c>
      <c r="J210" s="361">
        <v>2</v>
      </c>
      <c r="K210" s="355" t="str">
        <f t="shared" ref="K210:K239" si="83">IF(J210=21,"",INDEX($AM$7:$AN$27,J210,2))</f>
        <v>Team 2</v>
      </c>
      <c r="L210" s="361">
        <v>4</v>
      </c>
      <c r="M210" s="355" t="str">
        <f t="shared" ref="M210:M239" si="84">IF(L210=21,"",INDEX($AM$7:$AN$27,L210,2))</f>
        <v>Team 4</v>
      </c>
      <c r="N210" s="357"/>
      <c r="O210" s="358" t="s">
        <v>0</v>
      </c>
      <c r="P210" s="357"/>
      <c r="Q210" s="357"/>
      <c r="R210" s="358" t="s">
        <v>0</v>
      </c>
      <c r="S210" s="357"/>
      <c r="T210" s="357"/>
      <c r="U210" s="358" t="s">
        <v>0</v>
      </c>
      <c r="V210" s="357"/>
      <c r="W210" s="359"/>
      <c r="X210" s="359" t="str">
        <f t="shared" ref="X210:X239" si="85">IF(N210+P210&gt;0,IF(AB210&gt;0,IF(AB210&gt;AD210,2,IF(AB210&lt;AD210,0,1)),0),"")</f>
        <v/>
      </c>
      <c r="Y210" s="358" t="s">
        <v>0</v>
      </c>
      <c r="Z210" s="359" t="str">
        <f t="shared" ref="Z210:Z239" si="86">IF(N210+P210&gt;0,IF(AD210&gt;0,IF(AD210&gt;AB210,2,IF(AD210&lt;AB210,0,1)),0),"")</f>
        <v/>
      </c>
      <c r="AA210" s="359"/>
      <c r="AB210" s="359" t="str">
        <f t="shared" ref="AB210:AB239" si="87">IF(N210+P210&gt;0,IF(N210&gt;P210,1,0)+IF(Q210&gt;S210,1,0)+IF(T210&gt;V210,1,0),"")</f>
        <v/>
      </c>
      <c r="AC210" s="358" t="s">
        <v>0</v>
      </c>
      <c r="AD210" s="359" t="str">
        <f t="shared" ref="AD210:AD239" si="88">IF(N210+P210&gt;0,IF(N210&lt;P210,1,0)+IF(Q210&lt;S210,1,0)+IF(T210&lt;V210,1,0),"")</f>
        <v/>
      </c>
      <c r="AE210" s="360"/>
      <c r="AF210" s="359" t="str">
        <f t="shared" ref="AF210:AF239" si="89">IF(N210+P210&gt;0,N210+Q210+T210,"")</f>
        <v/>
      </c>
      <c r="AG210" s="358" t="s">
        <v>0</v>
      </c>
      <c r="AH210" s="359" t="str">
        <f t="shared" ref="AH210:AH239" si="90">IF(N210+P210&gt;0,P210+S210+V210,"")</f>
        <v/>
      </c>
      <c r="AJ210" s="4" t="str">
        <f>M$208</f>
        <v>Ort</v>
      </c>
      <c r="AM210" s="30"/>
      <c r="AN210" s="30"/>
    </row>
    <row r="211" spans="1:40" ht="15.75">
      <c r="A211" s="3">
        <f t="shared" ref="A211:A239" si="91">F211</f>
        <v>62</v>
      </c>
      <c r="B211" s="349" t="str">
        <f t="shared" ref="B211:B239" si="92">K$208</f>
        <v>00.00.2018</v>
      </c>
      <c r="C211" s="40" t="s">
        <v>75</v>
      </c>
      <c r="D211" s="41">
        <v>2</v>
      </c>
      <c r="E211" s="3">
        <v>1</v>
      </c>
      <c r="F211" s="3">
        <f>IF(H211&lt;21,COUNTIF(H$6:H211,"&lt;21"),"")</f>
        <v>62</v>
      </c>
      <c r="G211" s="7" t="str">
        <f>IF(H211=21,"",INDEX($AM$7:$AN$27,H211,2))</f>
        <v>Team 8</v>
      </c>
      <c r="H211" s="348">
        <v>8</v>
      </c>
      <c r="I211" s="29" t="s">
        <v>16</v>
      </c>
      <c r="J211" s="348">
        <v>4</v>
      </c>
      <c r="K211" s="7" t="str">
        <f t="shared" si="83"/>
        <v>Team 4</v>
      </c>
      <c r="L211" s="348">
        <v>2</v>
      </c>
      <c r="M211" s="7" t="str">
        <f t="shared" si="84"/>
        <v>Team 2</v>
      </c>
      <c r="N211" s="38"/>
      <c r="O211" s="39" t="s">
        <v>0</v>
      </c>
      <c r="P211" s="38"/>
      <c r="Q211" s="38"/>
      <c r="R211" s="39" t="s">
        <v>0</v>
      </c>
      <c r="S211" s="38"/>
      <c r="T211" s="38"/>
      <c r="U211" s="39" t="s">
        <v>0</v>
      </c>
      <c r="V211" s="38"/>
      <c r="W211" s="37"/>
      <c r="X211" s="37" t="str">
        <f t="shared" si="85"/>
        <v/>
      </c>
      <c r="Y211" s="39" t="s">
        <v>0</v>
      </c>
      <c r="Z211" s="37" t="str">
        <f t="shared" si="86"/>
        <v/>
      </c>
      <c r="AA211" s="37"/>
      <c r="AB211" s="37" t="str">
        <f t="shared" si="87"/>
        <v/>
      </c>
      <c r="AC211" s="39" t="s">
        <v>0</v>
      </c>
      <c r="AD211" s="37" t="str">
        <f t="shared" si="88"/>
        <v/>
      </c>
      <c r="AE211" s="56"/>
      <c r="AF211" s="37" t="str">
        <f t="shared" si="89"/>
        <v/>
      </c>
      <c r="AG211" s="39" t="s">
        <v>0</v>
      </c>
      <c r="AH211" s="37" t="str">
        <f t="shared" si="90"/>
        <v/>
      </c>
      <c r="AJ211" s="4" t="str">
        <f t="shared" ref="AJ211:AJ239" si="93">M$208</f>
        <v>Ort</v>
      </c>
    </row>
    <row r="212" spans="1:40" ht="15.75">
      <c r="A212" s="3">
        <f t="shared" si="91"/>
        <v>63</v>
      </c>
      <c r="B212" s="349" t="str">
        <f t="shared" si="92"/>
        <v>00.00.2018</v>
      </c>
      <c r="C212" s="352" t="s">
        <v>75</v>
      </c>
      <c r="D212" s="353">
        <v>3</v>
      </c>
      <c r="E212" s="354">
        <v>1</v>
      </c>
      <c r="F212" s="354">
        <f>IF(H212&lt;21,COUNTIF(H$6:H212,"&lt;21"),"")</f>
        <v>63</v>
      </c>
      <c r="G212" s="355" t="str">
        <f t="shared" ref="G212:G239" si="94">IF(H212=21,"",INDEX($AM$7:$AN$27,H212,2))</f>
        <v>Team 4</v>
      </c>
      <c r="H212" s="361">
        <v>4</v>
      </c>
      <c r="I212" s="379" t="s">
        <v>16</v>
      </c>
      <c r="J212" s="361">
        <v>2</v>
      </c>
      <c r="K212" s="355" t="str">
        <f t="shared" si="83"/>
        <v>Team 2</v>
      </c>
      <c r="L212" s="361">
        <v>8</v>
      </c>
      <c r="M212" s="355" t="str">
        <f t="shared" si="84"/>
        <v>Team 8</v>
      </c>
      <c r="N212" s="357"/>
      <c r="O212" s="358" t="s">
        <v>0</v>
      </c>
      <c r="P212" s="357"/>
      <c r="Q212" s="357"/>
      <c r="R212" s="358" t="s">
        <v>0</v>
      </c>
      <c r="S212" s="357"/>
      <c r="T212" s="357"/>
      <c r="U212" s="358" t="s">
        <v>0</v>
      </c>
      <c r="V212" s="357"/>
      <c r="W212" s="359"/>
      <c r="X212" s="359" t="str">
        <f t="shared" si="85"/>
        <v/>
      </c>
      <c r="Y212" s="358" t="s">
        <v>0</v>
      </c>
      <c r="Z212" s="359" t="str">
        <f t="shared" si="86"/>
        <v/>
      </c>
      <c r="AA212" s="359"/>
      <c r="AB212" s="359" t="str">
        <f t="shared" si="87"/>
        <v/>
      </c>
      <c r="AC212" s="358" t="s">
        <v>0</v>
      </c>
      <c r="AD212" s="359" t="str">
        <f t="shared" si="88"/>
        <v/>
      </c>
      <c r="AE212" s="360"/>
      <c r="AF212" s="359" t="str">
        <f t="shared" si="89"/>
        <v/>
      </c>
      <c r="AG212" s="358" t="s">
        <v>0</v>
      </c>
      <c r="AH212" s="359" t="str">
        <f t="shared" si="90"/>
        <v/>
      </c>
      <c r="AJ212" s="4" t="str">
        <f t="shared" si="93"/>
        <v>Ort</v>
      </c>
    </row>
    <row r="213" spans="1:40" ht="15.75">
      <c r="A213" s="3">
        <f t="shared" si="91"/>
        <v>64</v>
      </c>
      <c r="B213" s="349" t="str">
        <f t="shared" si="92"/>
        <v>00.00.2018</v>
      </c>
      <c r="C213" s="40" t="s">
        <v>75</v>
      </c>
      <c r="D213" s="41">
        <v>4</v>
      </c>
      <c r="E213" s="3">
        <v>1</v>
      </c>
      <c r="F213" s="3">
        <f>IF(H213&lt;21,COUNTIF(H$6:H213,"&lt;21"),"")</f>
        <v>64</v>
      </c>
      <c r="G213" s="7" t="str">
        <f t="shared" si="94"/>
        <v>Team 8</v>
      </c>
      <c r="H213" s="348">
        <v>8</v>
      </c>
      <c r="I213" s="29" t="s">
        <v>16</v>
      </c>
      <c r="J213" s="348">
        <v>3</v>
      </c>
      <c r="K213" s="7" t="str">
        <f t="shared" si="83"/>
        <v>Team 3</v>
      </c>
      <c r="L213" s="348">
        <v>6</v>
      </c>
      <c r="M213" s="7" t="str">
        <f t="shared" si="84"/>
        <v>Team 6</v>
      </c>
      <c r="N213" s="38"/>
      <c r="O213" s="39" t="s">
        <v>0</v>
      </c>
      <c r="P213" s="38"/>
      <c r="Q213" s="38"/>
      <c r="R213" s="39" t="s">
        <v>0</v>
      </c>
      <c r="S213" s="38"/>
      <c r="T213" s="38"/>
      <c r="U213" s="39" t="s">
        <v>0</v>
      </c>
      <c r="V213" s="38"/>
      <c r="W213" s="37"/>
      <c r="X213" s="37" t="str">
        <f t="shared" si="85"/>
        <v/>
      </c>
      <c r="Y213" s="39" t="s">
        <v>0</v>
      </c>
      <c r="Z213" s="37" t="str">
        <f t="shared" si="86"/>
        <v/>
      </c>
      <c r="AA213" s="37"/>
      <c r="AB213" s="37" t="str">
        <f t="shared" si="87"/>
        <v/>
      </c>
      <c r="AC213" s="39" t="s">
        <v>0</v>
      </c>
      <c r="AD213" s="37" t="str">
        <f t="shared" si="88"/>
        <v/>
      </c>
      <c r="AE213" s="56"/>
      <c r="AF213" s="37" t="str">
        <f t="shared" si="89"/>
        <v/>
      </c>
      <c r="AG213" s="39" t="s">
        <v>0</v>
      </c>
      <c r="AH213" s="37" t="str">
        <f t="shared" si="90"/>
        <v/>
      </c>
      <c r="AJ213" s="4" t="str">
        <f t="shared" si="93"/>
        <v>Ort</v>
      </c>
    </row>
    <row r="214" spans="1:40" ht="15.75">
      <c r="A214" s="3">
        <f t="shared" si="91"/>
        <v>65</v>
      </c>
      <c r="B214" s="349" t="str">
        <f t="shared" si="92"/>
        <v>00.00.2018</v>
      </c>
      <c r="C214" s="352" t="s">
        <v>75</v>
      </c>
      <c r="D214" s="353">
        <v>5</v>
      </c>
      <c r="E214" s="354">
        <v>1</v>
      </c>
      <c r="F214" s="354">
        <f>IF(H214&lt;21,COUNTIF(H$6:H214,"&lt;21"),"")</f>
        <v>65</v>
      </c>
      <c r="G214" s="355" t="str">
        <f t="shared" si="94"/>
        <v>Team 6</v>
      </c>
      <c r="H214" s="361">
        <v>6</v>
      </c>
      <c r="I214" s="379" t="s">
        <v>16</v>
      </c>
      <c r="J214" s="361">
        <v>2</v>
      </c>
      <c r="K214" s="355" t="str">
        <f t="shared" si="83"/>
        <v>Team 2</v>
      </c>
      <c r="L214" s="361">
        <v>3</v>
      </c>
      <c r="M214" s="355" t="str">
        <f t="shared" si="84"/>
        <v>Team 3</v>
      </c>
      <c r="N214" s="357"/>
      <c r="O214" s="358" t="s">
        <v>0</v>
      </c>
      <c r="P214" s="357"/>
      <c r="Q214" s="357"/>
      <c r="R214" s="358" t="s">
        <v>0</v>
      </c>
      <c r="S214" s="357"/>
      <c r="T214" s="357"/>
      <c r="U214" s="358" t="s">
        <v>0</v>
      </c>
      <c r="V214" s="357"/>
      <c r="W214" s="359"/>
      <c r="X214" s="359" t="str">
        <f t="shared" si="85"/>
        <v/>
      </c>
      <c r="Y214" s="358" t="s">
        <v>0</v>
      </c>
      <c r="Z214" s="359" t="str">
        <f t="shared" si="86"/>
        <v/>
      </c>
      <c r="AA214" s="359"/>
      <c r="AB214" s="359" t="str">
        <f t="shared" si="87"/>
        <v/>
      </c>
      <c r="AC214" s="358" t="s">
        <v>0</v>
      </c>
      <c r="AD214" s="359" t="str">
        <f t="shared" si="88"/>
        <v/>
      </c>
      <c r="AE214" s="360"/>
      <c r="AF214" s="359" t="str">
        <f t="shared" si="89"/>
        <v/>
      </c>
      <c r="AG214" s="358" t="s">
        <v>0</v>
      </c>
      <c r="AH214" s="359" t="str">
        <f t="shared" si="90"/>
        <v/>
      </c>
      <c r="AJ214" s="4" t="str">
        <f t="shared" si="93"/>
        <v>Ort</v>
      </c>
    </row>
    <row r="215" spans="1:40" ht="15.75">
      <c r="A215" s="3">
        <f t="shared" si="91"/>
        <v>66</v>
      </c>
      <c r="B215" s="349" t="str">
        <f t="shared" si="92"/>
        <v>00.00.2018</v>
      </c>
      <c r="C215" s="40" t="s">
        <v>75</v>
      </c>
      <c r="D215" s="41">
        <v>6</v>
      </c>
      <c r="E215" s="3">
        <v>1</v>
      </c>
      <c r="F215" s="3">
        <f>IF(H215&lt;21,COUNTIF(H$6:H215,"&lt;21"),"")</f>
        <v>66</v>
      </c>
      <c r="G215" s="7" t="str">
        <f t="shared" si="94"/>
        <v>Team 9</v>
      </c>
      <c r="H215" s="348">
        <v>9</v>
      </c>
      <c r="I215" s="29" t="s">
        <v>16</v>
      </c>
      <c r="J215" s="348">
        <v>4</v>
      </c>
      <c r="K215" s="7" t="str">
        <f t="shared" si="83"/>
        <v>Team 4</v>
      </c>
      <c r="L215" s="348">
        <v>2</v>
      </c>
      <c r="M215" s="7" t="str">
        <f t="shared" si="84"/>
        <v>Team 2</v>
      </c>
      <c r="N215" s="38"/>
      <c r="O215" s="39" t="s">
        <v>0</v>
      </c>
      <c r="P215" s="38"/>
      <c r="Q215" s="38"/>
      <c r="R215" s="39" t="s">
        <v>0</v>
      </c>
      <c r="S215" s="38"/>
      <c r="T215" s="38"/>
      <c r="U215" s="39" t="s">
        <v>0</v>
      </c>
      <c r="V215" s="38"/>
      <c r="W215" s="37"/>
      <c r="X215" s="37" t="str">
        <f t="shared" si="85"/>
        <v/>
      </c>
      <c r="Y215" s="39" t="s">
        <v>0</v>
      </c>
      <c r="Z215" s="37" t="str">
        <f t="shared" si="86"/>
        <v/>
      </c>
      <c r="AA215" s="37"/>
      <c r="AB215" s="37" t="str">
        <f t="shared" si="87"/>
        <v/>
      </c>
      <c r="AC215" s="39" t="s">
        <v>0</v>
      </c>
      <c r="AD215" s="37" t="str">
        <f t="shared" si="88"/>
        <v/>
      </c>
      <c r="AE215" s="56"/>
      <c r="AF215" s="37" t="str">
        <f t="shared" si="89"/>
        <v/>
      </c>
      <c r="AG215" s="39" t="s">
        <v>0</v>
      </c>
      <c r="AH215" s="37" t="str">
        <f t="shared" si="90"/>
        <v/>
      </c>
      <c r="AJ215" s="4" t="str">
        <f t="shared" si="93"/>
        <v>Ort</v>
      </c>
    </row>
    <row r="216" spans="1:40" ht="15.75">
      <c r="A216" s="3">
        <f t="shared" si="91"/>
        <v>67</v>
      </c>
      <c r="B216" s="349" t="str">
        <f t="shared" si="92"/>
        <v>00.00.2018</v>
      </c>
      <c r="C216" s="352" t="s">
        <v>75</v>
      </c>
      <c r="D216" s="353">
        <v>7</v>
      </c>
      <c r="E216" s="354">
        <v>1</v>
      </c>
      <c r="F216" s="354">
        <f>IF(H216&lt;21,COUNTIF(H$6:H216,"&lt;21"),"")</f>
        <v>67</v>
      </c>
      <c r="G216" s="355" t="str">
        <f t="shared" si="94"/>
        <v>Team 7</v>
      </c>
      <c r="H216" s="361">
        <v>7</v>
      </c>
      <c r="I216" s="379" t="s">
        <v>16</v>
      </c>
      <c r="J216" s="361">
        <v>6</v>
      </c>
      <c r="K216" s="355" t="str">
        <f t="shared" si="83"/>
        <v>Team 6</v>
      </c>
      <c r="L216" s="361">
        <v>9</v>
      </c>
      <c r="M216" s="355" t="str">
        <f t="shared" si="84"/>
        <v>Team 9</v>
      </c>
      <c r="N216" s="357"/>
      <c r="O216" s="358" t="s">
        <v>0</v>
      </c>
      <c r="P216" s="357"/>
      <c r="Q216" s="357"/>
      <c r="R216" s="358" t="s">
        <v>0</v>
      </c>
      <c r="S216" s="357"/>
      <c r="T216" s="357"/>
      <c r="U216" s="358" t="s">
        <v>0</v>
      </c>
      <c r="V216" s="357"/>
      <c r="W216" s="359"/>
      <c r="X216" s="359" t="str">
        <f t="shared" si="85"/>
        <v/>
      </c>
      <c r="Y216" s="358" t="s">
        <v>0</v>
      </c>
      <c r="Z216" s="359" t="str">
        <f t="shared" si="86"/>
        <v/>
      </c>
      <c r="AA216" s="359"/>
      <c r="AB216" s="359" t="str">
        <f t="shared" si="87"/>
        <v/>
      </c>
      <c r="AC216" s="358" t="s">
        <v>0</v>
      </c>
      <c r="AD216" s="359" t="str">
        <f t="shared" si="88"/>
        <v/>
      </c>
      <c r="AE216" s="360"/>
      <c r="AF216" s="359" t="str">
        <f t="shared" si="89"/>
        <v/>
      </c>
      <c r="AG216" s="358" t="s">
        <v>0</v>
      </c>
      <c r="AH216" s="359" t="str">
        <f t="shared" si="90"/>
        <v/>
      </c>
      <c r="AJ216" s="4" t="str">
        <f t="shared" si="93"/>
        <v>Ort</v>
      </c>
    </row>
    <row r="217" spans="1:40" ht="15.75">
      <c r="A217" s="3">
        <f t="shared" si="91"/>
        <v>68</v>
      </c>
      <c r="B217" s="349" t="str">
        <f t="shared" si="92"/>
        <v>00.00.2018</v>
      </c>
      <c r="C217" s="40" t="s">
        <v>75</v>
      </c>
      <c r="D217" s="41">
        <v>8</v>
      </c>
      <c r="E217" s="3">
        <v>1</v>
      </c>
      <c r="F217" s="3">
        <f>IF(H217&lt;21,COUNTIF(H$6:H217,"&lt;21"),"")</f>
        <v>68</v>
      </c>
      <c r="G217" s="7" t="str">
        <f t="shared" si="94"/>
        <v>Team 5</v>
      </c>
      <c r="H217" s="348">
        <v>5</v>
      </c>
      <c r="I217" s="29" t="s">
        <v>16</v>
      </c>
      <c r="J217" s="348">
        <v>3</v>
      </c>
      <c r="K217" s="7" t="str">
        <f>IF(J217=21,"",INDEX($AM$7:$AN$27,J217,2))</f>
        <v>Team 3</v>
      </c>
      <c r="L217" s="348">
        <v>6</v>
      </c>
      <c r="M217" s="7" t="str">
        <f t="shared" si="84"/>
        <v>Team 6</v>
      </c>
      <c r="N217" s="38"/>
      <c r="O217" s="39" t="s">
        <v>0</v>
      </c>
      <c r="P217" s="38"/>
      <c r="Q217" s="38"/>
      <c r="R217" s="39" t="s">
        <v>0</v>
      </c>
      <c r="S217" s="38"/>
      <c r="T217" s="38"/>
      <c r="U217" s="39" t="s">
        <v>0</v>
      </c>
      <c r="V217" s="38"/>
      <c r="W217" s="37"/>
      <c r="X217" s="37" t="str">
        <f t="shared" si="85"/>
        <v/>
      </c>
      <c r="Y217" s="39" t="s">
        <v>0</v>
      </c>
      <c r="Z217" s="37" t="str">
        <f t="shared" si="86"/>
        <v/>
      </c>
      <c r="AA217" s="37"/>
      <c r="AB217" s="37" t="str">
        <f t="shared" si="87"/>
        <v/>
      </c>
      <c r="AC217" s="39" t="s">
        <v>0</v>
      </c>
      <c r="AD217" s="37" t="str">
        <f t="shared" si="88"/>
        <v/>
      </c>
      <c r="AE217" s="56"/>
      <c r="AF217" s="37" t="str">
        <f t="shared" si="89"/>
        <v/>
      </c>
      <c r="AG217" s="39" t="s">
        <v>0</v>
      </c>
      <c r="AH217" s="37" t="str">
        <f t="shared" si="90"/>
        <v/>
      </c>
      <c r="AJ217" s="4" t="str">
        <f t="shared" si="93"/>
        <v>Ort</v>
      </c>
    </row>
    <row r="218" spans="1:40" ht="15.75">
      <c r="A218" s="3">
        <f t="shared" si="91"/>
        <v>69</v>
      </c>
      <c r="B218" s="349" t="str">
        <f t="shared" si="92"/>
        <v>00.00.2018</v>
      </c>
      <c r="C218" s="352" t="s">
        <v>75</v>
      </c>
      <c r="D218" s="353">
        <v>9</v>
      </c>
      <c r="E218" s="354">
        <v>1</v>
      </c>
      <c r="F218" s="354">
        <f>IF(H218&lt;21,COUNTIF(H$6:H218,"&lt;21"),"")</f>
        <v>69</v>
      </c>
      <c r="G218" s="355" t="str">
        <f t="shared" si="94"/>
        <v>Team 9</v>
      </c>
      <c r="H218" s="361">
        <v>9</v>
      </c>
      <c r="I218" s="379" t="s">
        <v>16</v>
      </c>
      <c r="J218" s="361">
        <v>6</v>
      </c>
      <c r="K218" s="355" t="str">
        <f>IF(J218=21,"",INDEX($AM$7:$AN$27,J218,2))</f>
        <v>Team 6</v>
      </c>
      <c r="L218" s="361">
        <v>5</v>
      </c>
      <c r="M218" s="355" t="str">
        <f t="shared" si="84"/>
        <v>Team 5</v>
      </c>
      <c r="N218" s="357"/>
      <c r="O218" s="358" t="s">
        <v>0</v>
      </c>
      <c r="P218" s="357"/>
      <c r="Q218" s="357"/>
      <c r="R218" s="358" t="s">
        <v>0</v>
      </c>
      <c r="S218" s="357"/>
      <c r="T218" s="357"/>
      <c r="U218" s="358" t="s">
        <v>0</v>
      </c>
      <c r="V218" s="357"/>
      <c r="W218" s="359"/>
      <c r="X218" s="359" t="str">
        <f t="shared" si="85"/>
        <v/>
      </c>
      <c r="Y218" s="358" t="s">
        <v>0</v>
      </c>
      <c r="Z218" s="359" t="str">
        <f t="shared" si="86"/>
        <v/>
      </c>
      <c r="AA218" s="359"/>
      <c r="AB218" s="359" t="str">
        <f t="shared" si="87"/>
        <v/>
      </c>
      <c r="AC218" s="358" t="s">
        <v>0</v>
      </c>
      <c r="AD218" s="359" t="str">
        <f t="shared" si="88"/>
        <v/>
      </c>
      <c r="AE218" s="360"/>
      <c r="AF218" s="359" t="str">
        <f t="shared" si="89"/>
        <v/>
      </c>
      <c r="AG218" s="358" t="s">
        <v>0</v>
      </c>
      <c r="AH218" s="359" t="str">
        <f t="shared" si="90"/>
        <v/>
      </c>
      <c r="AJ218" s="4" t="str">
        <f t="shared" si="93"/>
        <v>Ort</v>
      </c>
    </row>
    <row r="219" spans="1:40" ht="15.75">
      <c r="A219" s="3">
        <f t="shared" si="91"/>
        <v>70</v>
      </c>
      <c r="B219" s="349" t="str">
        <f t="shared" si="92"/>
        <v>00.00.2018</v>
      </c>
      <c r="C219" s="40" t="s">
        <v>75</v>
      </c>
      <c r="D219" s="41">
        <v>10</v>
      </c>
      <c r="E219" s="3">
        <v>1</v>
      </c>
      <c r="F219" s="3">
        <f>IF(H219&lt;21,COUNTIF(H$6:H219,"&lt;21"),"")</f>
        <v>70</v>
      </c>
      <c r="G219" s="7" t="str">
        <f t="shared" si="94"/>
        <v>Team 7</v>
      </c>
      <c r="H219" s="348">
        <v>7</v>
      </c>
      <c r="I219" s="29" t="s">
        <v>16</v>
      </c>
      <c r="J219" s="348">
        <v>1</v>
      </c>
      <c r="K219" s="7" t="str">
        <f>IF(J219=21,"",INDEX($AM$7:$AN$27,J219,2))</f>
        <v>Team 1</v>
      </c>
      <c r="L219" s="348">
        <v>9</v>
      </c>
      <c r="M219" s="7" t="str">
        <f t="shared" si="84"/>
        <v>Team 9</v>
      </c>
      <c r="N219" s="38"/>
      <c r="O219" s="39" t="s">
        <v>0</v>
      </c>
      <c r="P219" s="38"/>
      <c r="Q219" s="38"/>
      <c r="R219" s="39" t="s">
        <v>0</v>
      </c>
      <c r="S219" s="38"/>
      <c r="T219" s="38"/>
      <c r="U219" s="39" t="s">
        <v>0</v>
      </c>
      <c r="V219" s="38"/>
      <c r="W219" s="37"/>
      <c r="X219" s="37" t="str">
        <f t="shared" si="85"/>
        <v/>
      </c>
      <c r="Y219" s="39" t="s">
        <v>0</v>
      </c>
      <c r="Z219" s="37" t="str">
        <f t="shared" si="86"/>
        <v/>
      </c>
      <c r="AA219" s="37"/>
      <c r="AB219" s="37" t="str">
        <f t="shared" si="87"/>
        <v/>
      </c>
      <c r="AC219" s="39" t="s">
        <v>0</v>
      </c>
      <c r="AD219" s="37" t="str">
        <f t="shared" si="88"/>
        <v/>
      </c>
      <c r="AE219" s="56"/>
      <c r="AF219" s="37" t="str">
        <f t="shared" si="89"/>
        <v/>
      </c>
      <c r="AG219" s="39" t="s">
        <v>0</v>
      </c>
      <c r="AH219" s="37" t="str">
        <f t="shared" si="90"/>
        <v/>
      </c>
      <c r="AJ219" s="4" t="str">
        <f t="shared" si="93"/>
        <v>Ort</v>
      </c>
    </row>
    <row r="220" spans="1:40" ht="15.75">
      <c r="A220" s="3">
        <f t="shared" si="91"/>
        <v>71</v>
      </c>
      <c r="B220" s="349" t="str">
        <f t="shared" si="92"/>
        <v>00.00.2018</v>
      </c>
      <c r="C220" s="352" t="s">
        <v>75</v>
      </c>
      <c r="D220" s="353">
        <v>11</v>
      </c>
      <c r="E220" s="354">
        <v>1</v>
      </c>
      <c r="F220" s="354">
        <f>IF(H220&lt;21,COUNTIF(H$6:H220,"&lt;21"),"")</f>
        <v>71</v>
      </c>
      <c r="G220" s="355" t="str">
        <f t="shared" si="94"/>
        <v>Team 7</v>
      </c>
      <c r="H220" s="361">
        <v>7</v>
      </c>
      <c r="I220" s="379" t="s">
        <v>16</v>
      </c>
      <c r="J220" s="361">
        <v>5</v>
      </c>
      <c r="K220" s="355" t="str">
        <f>IF(J220=21,"",INDEX($AM$7:$AN$27,J220,2))</f>
        <v>Team 5</v>
      </c>
      <c r="L220" s="361">
        <v>1</v>
      </c>
      <c r="M220" s="355" t="str">
        <f t="shared" si="84"/>
        <v>Team 1</v>
      </c>
      <c r="N220" s="357"/>
      <c r="O220" s="358" t="s">
        <v>0</v>
      </c>
      <c r="P220" s="357"/>
      <c r="Q220" s="357"/>
      <c r="R220" s="358" t="s">
        <v>0</v>
      </c>
      <c r="S220" s="357"/>
      <c r="T220" s="357"/>
      <c r="U220" s="358" t="s">
        <v>0</v>
      </c>
      <c r="V220" s="357"/>
      <c r="W220" s="359"/>
      <c r="X220" s="359" t="str">
        <f t="shared" si="85"/>
        <v/>
      </c>
      <c r="Y220" s="358" t="s">
        <v>0</v>
      </c>
      <c r="Z220" s="359" t="str">
        <f t="shared" si="86"/>
        <v/>
      </c>
      <c r="AA220" s="359"/>
      <c r="AB220" s="359" t="str">
        <f t="shared" si="87"/>
        <v/>
      </c>
      <c r="AC220" s="358" t="s">
        <v>0</v>
      </c>
      <c r="AD220" s="359" t="str">
        <f t="shared" si="88"/>
        <v/>
      </c>
      <c r="AE220" s="360"/>
      <c r="AF220" s="359" t="str">
        <f t="shared" si="89"/>
        <v/>
      </c>
      <c r="AG220" s="358" t="s">
        <v>0</v>
      </c>
      <c r="AH220" s="359" t="str">
        <f t="shared" si="90"/>
        <v/>
      </c>
      <c r="AJ220" s="4" t="str">
        <f t="shared" si="93"/>
        <v>Ort</v>
      </c>
    </row>
    <row r="221" spans="1:40" ht="15.75">
      <c r="A221" s="3">
        <f t="shared" si="91"/>
        <v>72</v>
      </c>
      <c r="B221" s="349" t="str">
        <f t="shared" si="92"/>
        <v>00.00.2018</v>
      </c>
      <c r="C221" s="40" t="s">
        <v>75</v>
      </c>
      <c r="D221" s="41">
        <v>12</v>
      </c>
      <c r="E221" s="3">
        <v>1</v>
      </c>
      <c r="F221" s="3">
        <f>IF(H221&lt;21,COUNTIF(H$6:H221,"&lt;21"),"")</f>
        <v>72</v>
      </c>
      <c r="G221" s="7" t="str">
        <f t="shared" si="94"/>
        <v>Team 9</v>
      </c>
      <c r="H221" s="348">
        <v>9</v>
      </c>
      <c r="I221" s="29" t="s">
        <v>16</v>
      </c>
      <c r="J221" s="348">
        <v>1</v>
      </c>
      <c r="K221" s="7" t="str">
        <f>IF(J221=21,"",INDEX($AM$7:$AN$27,J221,2))</f>
        <v>Team 1</v>
      </c>
      <c r="L221" s="348">
        <v>7</v>
      </c>
      <c r="M221" s="7" t="str">
        <f t="shared" si="84"/>
        <v>Team 7</v>
      </c>
      <c r="N221" s="38"/>
      <c r="O221" s="39" t="s">
        <v>0</v>
      </c>
      <c r="P221" s="38"/>
      <c r="Q221" s="38"/>
      <c r="R221" s="39" t="s">
        <v>0</v>
      </c>
      <c r="S221" s="38"/>
      <c r="T221" s="38"/>
      <c r="U221" s="39" t="s">
        <v>0</v>
      </c>
      <c r="V221" s="38"/>
      <c r="W221" s="37"/>
      <c r="X221" s="37" t="str">
        <f t="shared" si="85"/>
        <v/>
      </c>
      <c r="Y221" s="39" t="s">
        <v>0</v>
      </c>
      <c r="Z221" s="37" t="str">
        <f t="shared" si="86"/>
        <v/>
      </c>
      <c r="AA221" s="37"/>
      <c r="AB221" s="37" t="str">
        <f t="shared" si="87"/>
        <v/>
      </c>
      <c r="AC221" s="39" t="s">
        <v>0</v>
      </c>
      <c r="AD221" s="37" t="str">
        <f t="shared" si="88"/>
        <v/>
      </c>
      <c r="AE221" s="56"/>
      <c r="AF221" s="37" t="str">
        <f t="shared" si="89"/>
        <v/>
      </c>
      <c r="AG221" s="39" t="s">
        <v>0</v>
      </c>
      <c r="AH221" s="37" t="str">
        <f t="shared" si="90"/>
        <v/>
      </c>
      <c r="AJ221" s="4" t="str">
        <f t="shared" si="93"/>
        <v>Ort</v>
      </c>
    </row>
    <row r="222" spans="1:40" ht="15.75" hidden="1">
      <c r="A222" s="3" t="str">
        <f t="shared" si="91"/>
        <v/>
      </c>
      <c r="B222" s="349" t="str">
        <f t="shared" si="92"/>
        <v>00.00.2018</v>
      </c>
      <c r="C222" s="40" t="s">
        <v>75</v>
      </c>
      <c r="D222" s="41">
        <v>4</v>
      </c>
      <c r="E222" s="3">
        <v>1</v>
      </c>
      <c r="F222" s="3" t="str">
        <f>IF(H222&lt;21,COUNTIF(H$6:H222,"&lt;21"),"")</f>
        <v/>
      </c>
      <c r="G222" s="7" t="str">
        <f t="shared" si="94"/>
        <v/>
      </c>
      <c r="H222" s="348">
        <v>21</v>
      </c>
      <c r="I222" s="29" t="s">
        <v>16</v>
      </c>
      <c r="J222" s="348">
        <v>21</v>
      </c>
      <c r="K222" s="7" t="str">
        <f t="shared" si="83"/>
        <v/>
      </c>
      <c r="L222" s="348">
        <v>21</v>
      </c>
      <c r="M222" s="7" t="str">
        <f t="shared" si="84"/>
        <v/>
      </c>
      <c r="N222" s="38"/>
      <c r="O222" s="39" t="s">
        <v>0</v>
      </c>
      <c r="P222" s="38"/>
      <c r="Q222" s="38"/>
      <c r="R222" s="39" t="s">
        <v>0</v>
      </c>
      <c r="S222" s="38"/>
      <c r="T222" s="38"/>
      <c r="U222" s="39" t="s">
        <v>0</v>
      </c>
      <c r="V222" s="38"/>
      <c r="W222" s="37"/>
      <c r="X222" s="37" t="str">
        <f t="shared" si="85"/>
        <v/>
      </c>
      <c r="Y222" s="39" t="s">
        <v>0</v>
      </c>
      <c r="Z222" s="37" t="str">
        <f t="shared" si="86"/>
        <v/>
      </c>
      <c r="AA222" s="37"/>
      <c r="AB222" s="37" t="str">
        <f t="shared" si="87"/>
        <v/>
      </c>
      <c r="AC222" s="39" t="s">
        <v>0</v>
      </c>
      <c r="AD222" s="37" t="str">
        <f t="shared" si="88"/>
        <v/>
      </c>
      <c r="AE222" s="56"/>
      <c r="AF222" s="37" t="str">
        <f t="shared" si="89"/>
        <v/>
      </c>
      <c r="AG222" s="39" t="s">
        <v>0</v>
      </c>
      <c r="AH222" s="37" t="str">
        <f t="shared" si="90"/>
        <v/>
      </c>
      <c r="AJ222" s="4" t="str">
        <f t="shared" si="93"/>
        <v>Ort</v>
      </c>
    </row>
    <row r="223" spans="1:40" s="30" customFormat="1" ht="15.75" hidden="1">
      <c r="A223" s="3" t="str">
        <f t="shared" si="91"/>
        <v/>
      </c>
      <c r="B223" s="349" t="str">
        <f t="shared" si="92"/>
        <v>00.00.2018</v>
      </c>
      <c r="C223" s="40" t="s">
        <v>75</v>
      </c>
      <c r="D223" s="41">
        <v>4</v>
      </c>
      <c r="E223" s="3">
        <v>1</v>
      </c>
      <c r="F223" s="3" t="str">
        <f>IF(H223&lt;21,COUNTIF(H$6:H223,"&lt;21"),"")</f>
        <v/>
      </c>
      <c r="G223" s="7" t="str">
        <f t="shared" si="94"/>
        <v/>
      </c>
      <c r="H223" s="348">
        <v>21</v>
      </c>
      <c r="I223" s="29" t="s">
        <v>16</v>
      </c>
      <c r="J223" s="348">
        <v>21</v>
      </c>
      <c r="K223" s="7" t="str">
        <f t="shared" si="83"/>
        <v/>
      </c>
      <c r="L223" s="348">
        <v>21</v>
      </c>
      <c r="M223" s="7" t="str">
        <f t="shared" si="84"/>
        <v/>
      </c>
      <c r="N223" s="38"/>
      <c r="O223" s="39" t="s">
        <v>0</v>
      </c>
      <c r="P223" s="38"/>
      <c r="Q223" s="38"/>
      <c r="R223" s="39" t="s">
        <v>0</v>
      </c>
      <c r="S223" s="38"/>
      <c r="T223" s="38"/>
      <c r="U223" s="39" t="s">
        <v>0</v>
      </c>
      <c r="V223" s="38"/>
      <c r="W223" s="37"/>
      <c r="X223" s="37" t="str">
        <f t="shared" si="85"/>
        <v/>
      </c>
      <c r="Y223" s="39" t="s">
        <v>0</v>
      </c>
      <c r="Z223" s="37" t="str">
        <f t="shared" si="86"/>
        <v/>
      </c>
      <c r="AA223" s="37"/>
      <c r="AB223" s="37" t="str">
        <f t="shared" si="87"/>
        <v/>
      </c>
      <c r="AC223" s="39" t="s">
        <v>0</v>
      </c>
      <c r="AD223" s="37" t="str">
        <f t="shared" si="88"/>
        <v/>
      </c>
      <c r="AE223" s="56"/>
      <c r="AF223" s="37" t="str">
        <f t="shared" si="89"/>
        <v/>
      </c>
      <c r="AG223" s="39" t="s">
        <v>0</v>
      </c>
      <c r="AH223" s="37" t="str">
        <f t="shared" si="90"/>
        <v/>
      </c>
      <c r="AJ223" s="4" t="str">
        <f t="shared" si="93"/>
        <v>Ort</v>
      </c>
      <c r="AM223" s="4"/>
      <c r="AN223" s="4"/>
    </row>
    <row r="224" spans="1:40" s="30" customFormat="1" ht="15.75" hidden="1">
      <c r="A224" s="3" t="str">
        <f t="shared" si="91"/>
        <v/>
      </c>
      <c r="B224" s="349" t="str">
        <f t="shared" si="92"/>
        <v>00.00.2018</v>
      </c>
      <c r="C224" s="40" t="s">
        <v>75</v>
      </c>
      <c r="D224" s="41">
        <v>4</v>
      </c>
      <c r="E224" s="3">
        <v>1</v>
      </c>
      <c r="F224" s="3" t="str">
        <f>IF(H224&lt;21,COUNTIF(H$6:H224,"&lt;21"),"")</f>
        <v/>
      </c>
      <c r="G224" s="7" t="str">
        <f t="shared" si="94"/>
        <v/>
      </c>
      <c r="H224" s="348">
        <v>21</v>
      </c>
      <c r="I224" s="29" t="s">
        <v>16</v>
      </c>
      <c r="J224" s="348">
        <v>21</v>
      </c>
      <c r="K224" s="7" t="str">
        <f t="shared" si="83"/>
        <v/>
      </c>
      <c r="L224" s="348">
        <v>21</v>
      </c>
      <c r="M224" s="7" t="str">
        <f t="shared" si="84"/>
        <v/>
      </c>
      <c r="N224" s="38"/>
      <c r="O224" s="39" t="s">
        <v>0</v>
      </c>
      <c r="P224" s="38"/>
      <c r="Q224" s="38"/>
      <c r="R224" s="39" t="s">
        <v>0</v>
      </c>
      <c r="S224" s="38"/>
      <c r="T224" s="38"/>
      <c r="U224" s="39" t="s">
        <v>0</v>
      </c>
      <c r="V224" s="38"/>
      <c r="W224" s="37"/>
      <c r="X224" s="37" t="str">
        <f t="shared" si="85"/>
        <v/>
      </c>
      <c r="Y224" s="39" t="s">
        <v>0</v>
      </c>
      <c r="Z224" s="37" t="str">
        <f t="shared" si="86"/>
        <v/>
      </c>
      <c r="AA224" s="37"/>
      <c r="AB224" s="37" t="str">
        <f t="shared" si="87"/>
        <v/>
      </c>
      <c r="AC224" s="39" t="s">
        <v>0</v>
      </c>
      <c r="AD224" s="37" t="str">
        <f t="shared" si="88"/>
        <v/>
      </c>
      <c r="AE224" s="56"/>
      <c r="AF224" s="37" t="str">
        <f t="shared" si="89"/>
        <v/>
      </c>
      <c r="AG224" s="39" t="s">
        <v>0</v>
      </c>
      <c r="AH224" s="37" t="str">
        <f t="shared" si="90"/>
        <v/>
      </c>
      <c r="AJ224" s="4" t="str">
        <f t="shared" si="93"/>
        <v>Ort</v>
      </c>
    </row>
    <row r="225" spans="1:40" ht="15.75" hidden="1">
      <c r="A225" s="3" t="str">
        <f t="shared" si="91"/>
        <v/>
      </c>
      <c r="B225" s="349" t="str">
        <f t="shared" si="92"/>
        <v>00.00.2018</v>
      </c>
      <c r="C225" s="40" t="s">
        <v>75</v>
      </c>
      <c r="D225" s="41">
        <v>4</v>
      </c>
      <c r="E225" s="3">
        <v>1</v>
      </c>
      <c r="F225" s="3" t="str">
        <f>IF(H225&lt;21,COUNTIF(H$6:H225,"&lt;21"),"")</f>
        <v/>
      </c>
      <c r="G225" s="7" t="str">
        <f t="shared" si="94"/>
        <v/>
      </c>
      <c r="H225" s="348">
        <v>21</v>
      </c>
      <c r="I225" s="29" t="s">
        <v>16</v>
      </c>
      <c r="J225" s="348">
        <v>21</v>
      </c>
      <c r="K225" s="7" t="str">
        <f t="shared" si="83"/>
        <v/>
      </c>
      <c r="L225" s="348">
        <v>21</v>
      </c>
      <c r="M225" s="7" t="str">
        <f t="shared" si="84"/>
        <v/>
      </c>
      <c r="N225" s="38"/>
      <c r="O225" s="39" t="s">
        <v>0</v>
      </c>
      <c r="P225" s="38"/>
      <c r="Q225" s="38"/>
      <c r="R225" s="39" t="s">
        <v>0</v>
      </c>
      <c r="S225" s="38"/>
      <c r="T225" s="38"/>
      <c r="U225" s="39" t="s">
        <v>0</v>
      </c>
      <c r="V225" s="38"/>
      <c r="W225" s="37"/>
      <c r="X225" s="37" t="str">
        <f t="shared" si="85"/>
        <v/>
      </c>
      <c r="Y225" s="39" t="s">
        <v>0</v>
      </c>
      <c r="Z225" s="37" t="str">
        <f t="shared" si="86"/>
        <v/>
      </c>
      <c r="AA225" s="37"/>
      <c r="AB225" s="37" t="str">
        <f t="shared" si="87"/>
        <v/>
      </c>
      <c r="AC225" s="39" t="s">
        <v>0</v>
      </c>
      <c r="AD225" s="37" t="str">
        <f t="shared" si="88"/>
        <v/>
      </c>
      <c r="AE225" s="56"/>
      <c r="AF225" s="37" t="str">
        <f t="shared" si="89"/>
        <v/>
      </c>
      <c r="AG225" s="39" t="s">
        <v>0</v>
      </c>
      <c r="AH225" s="37" t="str">
        <f t="shared" si="90"/>
        <v/>
      </c>
      <c r="AJ225" s="4" t="str">
        <f t="shared" si="93"/>
        <v>Ort</v>
      </c>
      <c r="AM225" s="30"/>
      <c r="AN225" s="30"/>
    </row>
    <row r="226" spans="1:40" ht="15.75" hidden="1">
      <c r="A226" s="3" t="str">
        <f t="shared" si="91"/>
        <v/>
      </c>
      <c r="B226" s="349" t="str">
        <f t="shared" si="92"/>
        <v>00.00.2018</v>
      </c>
      <c r="C226" s="40" t="s">
        <v>75</v>
      </c>
      <c r="D226" s="41">
        <v>5</v>
      </c>
      <c r="E226" s="3">
        <v>1</v>
      </c>
      <c r="F226" s="3" t="str">
        <f>IF(H226&lt;21,COUNTIF(H$6:H226,"&lt;21"),"")</f>
        <v/>
      </c>
      <c r="G226" s="7" t="str">
        <f t="shared" si="94"/>
        <v/>
      </c>
      <c r="H226" s="348">
        <v>21</v>
      </c>
      <c r="I226" s="29" t="s">
        <v>16</v>
      </c>
      <c r="J226" s="348">
        <v>21</v>
      </c>
      <c r="K226" s="7" t="str">
        <f t="shared" si="83"/>
        <v/>
      </c>
      <c r="L226" s="348">
        <v>21</v>
      </c>
      <c r="M226" s="7" t="str">
        <f t="shared" si="84"/>
        <v/>
      </c>
      <c r="N226" s="38"/>
      <c r="O226" s="39" t="s">
        <v>0</v>
      </c>
      <c r="P226" s="38"/>
      <c r="Q226" s="38"/>
      <c r="R226" s="39" t="s">
        <v>0</v>
      </c>
      <c r="S226" s="38"/>
      <c r="T226" s="38"/>
      <c r="U226" s="39" t="s">
        <v>0</v>
      </c>
      <c r="V226" s="38"/>
      <c r="W226" s="37"/>
      <c r="X226" s="37" t="str">
        <f t="shared" si="85"/>
        <v/>
      </c>
      <c r="Y226" s="39" t="s">
        <v>0</v>
      </c>
      <c r="Z226" s="37" t="str">
        <f t="shared" si="86"/>
        <v/>
      </c>
      <c r="AA226" s="37"/>
      <c r="AB226" s="37" t="str">
        <f t="shared" si="87"/>
        <v/>
      </c>
      <c r="AC226" s="39" t="s">
        <v>0</v>
      </c>
      <c r="AD226" s="37" t="str">
        <f t="shared" si="88"/>
        <v/>
      </c>
      <c r="AE226" s="56"/>
      <c r="AF226" s="37" t="str">
        <f t="shared" si="89"/>
        <v/>
      </c>
      <c r="AG226" s="39" t="s">
        <v>0</v>
      </c>
      <c r="AH226" s="37" t="str">
        <f t="shared" si="90"/>
        <v/>
      </c>
      <c r="AJ226" s="4" t="str">
        <f t="shared" si="93"/>
        <v>Ort</v>
      </c>
    </row>
    <row r="227" spans="1:40" ht="15.75" hidden="1">
      <c r="A227" s="3" t="str">
        <f t="shared" si="91"/>
        <v/>
      </c>
      <c r="B227" s="349" t="str">
        <f t="shared" si="92"/>
        <v>00.00.2018</v>
      </c>
      <c r="C227" s="40" t="s">
        <v>75</v>
      </c>
      <c r="D227" s="41">
        <v>5</v>
      </c>
      <c r="E227" s="3">
        <v>1</v>
      </c>
      <c r="F227" s="3" t="str">
        <f>IF(H227&lt;21,COUNTIF(H$6:H227,"&lt;21"),"")</f>
        <v/>
      </c>
      <c r="G227" s="7" t="str">
        <f t="shared" si="94"/>
        <v/>
      </c>
      <c r="H227" s="348">
        <v>21</v>
      </c>
      <c r="I227" s="29" t="s">
        <v>16</v>
      </c>
      <c r="J227" s="348">
        <v>21</v>
      </c>
      <c r="K227" s="7" t="str">
        <f t="shared" si="83"/>
        <v/>
      </c>
      <c r="L227" s="348">
        <v>21</v>
      </c>
      <c r="M227" s="7" t="str">
        <f t="shared" si="84"/>
        <v/>
      </c>
      <c r="N227" s="38"/>
      <c r="O227" s="39" t="s">
        <v>0</v>
      </c>
      <c r="P227" s="38"/>
      <c r="Q227" s="38"/>
      <c r="R227" s="39" t="s">
        <v>0</v>
      </c>
      <c r="S227" s="38"/>
      <c r="T227" s="38"/>
      <c r="U227" s="39" t="s">
        <v>0</v>
      </c>
      <c r="V227" s="38"/>
      <c r="W227" s="37"/>
      <c r="X227" s="37" t="str">
        <f t="shared" si="85"/>
        <v/>
      </c>
      <c r="Y227" s="39" t="s">
        <v>0</v>
      </c>
      <c r="Z227" s="37" t="str">
        <f t="shared" si="86"/>
        <v/>
      </c>
      <c r="AA227" s="37"/>
      <c r="AB227" s="37" t="str">
        <f t="shared" si="87"/>
        <v/>
      </c>
      <c r="AC227" s="39" t="s">
        <v>0</v>
      </c>
      <c r="AD227" s="37" t="str">
        <f t="shared" si="88"/>
        <v/>
      </c>
      <c r="AE227" s="56"/>
      <c r="AF227" s="37" t="str">
        <f t="shared" si="89"/>
        <v/>
      </c>
      <c r="AG227" s="39" t="s">
        <v>0</v>
      </c>
      <c r="AH227" s="37" t="str">
        <f t="shared" si="90"/>
        <v/>
      </c>
      <c r="AJ227" s="4" t="str">
        <f t="shared" si="93"/>
        <v>Ort</v>
      </c>
    </row>
    <row r="228" spans="1:40" ht="15.75" hidden="1">
      <c r="A228" s="3" t="str">
        <f t="shared" si="91"/>
        <v/>
      </c>
      <c r="B228" s="349" t="str">
        <f t="shared" si="92"/>
        <v>00.00.2018</v>
      </c>
      <c r="C228" s="40" t="s">
        <v>75</v>
      </c>
      <c r="D228" s="41">
        <v>5</v>
      </c>
      <c r="E228" s="3">
        <v>1</v>
      </c>
      <c r="F228" s="3" t="str">
        <f>IF(H228&lt;21,COUNTIF(H$6:H228,"&lt;21"),"")</f>
        <v/>
      </c>
      <c r="G228" s="7" t="str">
        <f t="shared" si="94"/>
        <v/>
      </c>
      <c r="H228" s="348">
        <v>21</v>
      </c>
      <c r="I228" s="29" t="s">
        <v>16</v>
      </c>
      <c r="J228" s="348">
        <v>21</v>
      </c>
      <c r="K228" s="7" t="str">
        <f t="shared" si="83"/>
        <v/>
      </c>
      <c r="L228" s="348">
        <v>21</v>
      </c>
      <c r="M228" s="7" t="str">
        <f t="shared" si="84"/>
        <v/>
      </c>
      <c r="N228" s="38"/>
      <c r="O228" s="39" t="s">
        <v>0</v>
      </c>
      <c r="P228" s="38"/>
      <c r="Q228" s="38"/>
      <c r="R228" s="39" t="s">
        <v>0</v>
      </c>
      <c r="S228" s="38"/>
      <c r="T228" s="38"/>
      <c r="U228" s="39" t="s">
        <v>0</v>
      </c>
      <c r="V228" s="38"/>
      <c r="W228" s="37"/>
      <c r="X228" s="37" t="str">
        <f t="shared" si="85"/>
        <v/>
      </c>
      <c r="Y228" s="39" t="s">
        <v>0</v>
      </c>
      <c r="Z228" s="37" t="str">
        <f t="shared" si="86"/>
        <v/>
      </c>
      <c r="AA228" s="37"/>
      <c r="AB228" s="37" t="str">
        <f t="shared" si="87"/>
        <v/>
      </c>
      <c r="AC228" s="39" t="s">
        <v>0</v>
      </c>
      <c r="AD228" s="37" t="str">
        <f t="shared" si="88"/>
        <v/>
      </c>
      <c r="AE228" s="56"/>
      <c r="AF228" s="37" t="str">
        <f t="shared" si="89"/>
        <v/>
      </c>
      <c r="AG228" s="39" t="s">
        <v>0</v>
      </c>
      <c r="AH228" s="37" t="str">
        <f t="shared" si="90"/>
        <v/>
      </c>
      <c r="AJ228" s="4" t="str">
        <f t="shared" si="93"/>
        <v>Ort</v>
      </c>
    </row>
    <row r="229" spans="1:40" ht="15.75" hidden="1">
      <c r="A229" s="3" t="str">
        <f t="shared" si="91"/>
        <v/>
      </c>
      <c r="B229" s="349" t="str">
        <f t="shared" si="92"/>
        <v>00.00.2018</v>
      </c>
      <c r="C229" s="40" t="s">
        <v>75</v>
      </c>
      <c r="D229" s="41">
        <v>5</v>
      </c>
      <c r="E229" s="3">
        <v>1</v>
      </c>
      <c r="F229" s="3" t="str">
        <f>IF(H229&lt;21,COUNTIF(H$6:H229,"&lt;21"),"")</f>
        <v/>
      </c>
      <c r="G229" s="7" t="str">
        <f t="shared" si="94"/>
        <v/>
      </c>
      <c r="H229" s="348">
        <v>21</v>
      </c>
      <c r="I229" s="29" t="s">
        <v>16</v>
      </c>
      <c r="J229" s="348">
        <v>21</v>
      </c>
      <c r="K229" s="7" t="str">
        <f t="shared" si="83"/>
        <v/>
      </c>
      <c r="L229" s="348">
        <v>21</v>
      </c>
      <c r="M229" s="7" t="str">
        <f t="shared" si="84"/>
        <v/>
      </c>
      <c r="N229" s="38"/>
      <c r="O229" s="39" t="s">
        <v>0</v>
      </c>
      <c r="P229" s="38"/>
      <c r="Q229" s="38"/>
      <c r="R229" s="39" t="s">
        <v>0</v>
      </c>
      <c r="S229" s="38"/>
      <c r="T229" s="38"/>
      <c r="U229" s="39" t="s">
        <v>0</v>
      </c>
      <c r="V229" s="38"/>
      <c r="W229" s="37"/>
      <c r="X229" s="37" t="str">
        <f t="shared" si="85"/>
        <v/>
      </c>
      <c r="Y229" s="39" t="s">
        <v>0</v>
      </c>
      <c r="Z229" s="37" t="str">
        <f t="shared" si="86"/>
        <v/>
      </c>
      <c r="AA229" s="37"/>
      <c r="AB229" s="37" t="str">
        <f t="shared" si="87"/>
        <v/>
      </c>
      <c r="AC229" s="39" t="s">
        <v>0</v>
      </c>
      <c r="AD229" s="37" t="str">
        <f t="shared" si="88"/>
        <v/>
      </c>
      <c r="AE229" s="56"/>
      <c r="AF229" s="37" t="str">
        <f t="shared" si="89"/>
        <v/>
      </c>
      <c r="AG229" s="39" t="s">
        <v>0</v>
      </c>
      <c r="AH229" s="37" t="str">
        <f t="shared" si="90"/>
        <v/>
      </c>
      <c r="AJ229" s="4" t="str">
        <f t="shared" si="93"/>
        <v>Ort</v>
      </c>
    </row>
    <row r="230" spans="1:40" ht="15.75" hidden="1">
      <c r="A230" s="3" t="str">
        <f t="shared" si="91"/>
        <v/>
      </c>
      <c r="B230" s="349" t="str">
        <f t="shared" si="92"/>
        <v>00.00.2018</v>
      </c>
      <c r="C230" s="40" t="s">
        <v>75</v>
      </c>
      <c r="D230" s="41">
        <v>6</v>
      </c>
      <c r="E230" s="3">
        <v>1</v>
      </c>
      <c r="F230" s="3" t="str">
        <f>IF(H230&lt;21,COUNTIF(H$6:H230,"&lt;21"),"")</f>
        <v/>
      </c>
      <c r="G230" s="7" t="str">
        <f t="shared" si="94"/>
        <v/>
      </c>
      <c r="H230" s="348">
        <v>21</v>
      </c>
      <c r="I230" s="29" t="s">
        <v>16</v>
      </c>
      <c r="J230" s="348">
        <v>21</v>
      </c>
      <c r="K230" s="7" t="str">
        <f t="shared" si="83"/>
        <v/>
      </c>
      <c r="L230" s="348">
        <v>21</v>
      </c>
      <c r="M230" s="7" t="str">
        <f t="shared" si="84"/>
        <v/>
      </c>
      <c r="N230" s="38"/>
      <c r="O230" s="39" t="s">
        <v>0</v>
      </c>
      <c r="P230" s="38"/>
      <c r="Q230" s="38"/>
      <c r="R230" s="39" t="s">
        <v>0</v>
      </c>
      <c r="S230" s="38"/>
      <c r="T230" s="38"/>
      <c r="U230" s="39" t="s">
        <v>0</v>
      </c>
      <c r="V230" s="38"/>
      <c r="W230" s="37"/>
      <c r="X230" s="37" t="str">
        <f t="shared" si="85"/>
        <v/>
      </c>
      <c r="Y230" s="39" t="s">
        <v>0</v>
      </c>
      <c r="Z230" s="37" t="str">
        <f t="shared" si="86"/>
        <v/>
      </c>
      <c r="AA230" s="37"/>
      <c r="AB230" s="37" t="str">
        <f t="shared" si="87"/>
        <v/>
      </c>
      <c r="AC230" s="39" t="s">
        <v>0</v>
      </c>
      <c r="AD230" s="37" t="str">
        <f t="shared" si="88"/>
        <v/>
      </c>
      <c r="AE230" s="56"/>
      <c r="AF230" s="37" t="str">
        <f t="shared" si="89"/>
        <v/>
      </c>
      <c r="AG230" s="39" t="s">
        <v>0</v>
      </c>
      <c r="AH230" s="37" t="str">
        <f t="shared" si="90"/>
        <v/>
      </c>
      <c r="AJ230" s="4" t="str">
        <f t="shared" si="93"/>
        <v>Ort</v>
      </c>
    </row>
    <row r="231" spans="1:40" ht="15.75" hidden="1">
      <c r="A231" s="3" t="str">
        <f t="shared" si="91"/>
        <v/>
      </c>
      <c r="B231" s="349" t="str">
        <f t="shared" si="92"/>
        <v>00.00.2018</v>
      </c>
      <c r="C231" s="40" t="s">
        <v>75</v>
      </c>
      <c r="D231" s="41">
        <v>6</v>
      </c>
      <c r="E231" s="3">
        <v>1</v>
      </c>
      <c r="F231" s="3" t="str">
        <f>IF(H231&lt;21,COUNTIF(H$6:H231,"&lt;21"),"")</f>
        <v/>
      </c>
      <c r="G231" s="7" t="str">
        <f t="shared" si="94"/>
        <v/>
      </c>
      <c r="H231" s="348">
        <v>21</v>
      </c>
      <c r="I231" s="29" t="s">
        <v>16</v>
      </c>
      <c r="J231" s="348">
        <v>21</v>
      </c>
      <c r="K231" s="7" t="str">
        <f t="shared" si="83"/>
        <v/>
      </c>
      <c r="L231" s="348">
        <v>21</v>
      </c>
      <c r="M231" s="7" t="str">
        <f t="shared" si="84"/>
        <v/>
      </c>
      <c r="N231" s="38"/>
      <c r="O231" s="39" t="s">
        <v>0</v>
      </c>
      <c r="P231" s="38"/>
      <c r="Q231" s="38"/>
      <c r="R231" s="39" t="s">
        <v>0</v>
      </c>
      <c r="S231" s="38"/>
      <c r="T231" s="38"/>
      <c r="U231" s="39" t="s">
        <v>0</v>
      </c>
      <c r="V231" s="38"/>
      <c r="W231" s="37"/>
      <c r="X231" s="37" t="str">
        <f t="shared" si="85"/>
        <v/>
      </c>
      <c r="Y231" s="39" t="s">
        <v>0</v>
      </c>
      <c r="Z231" s="37" t="str">
        <f t="shared" si="86"/>
        <v/>
      </c>
      <c r="AA231" s="37"/>
      <c r="AB231" s="37" t="str">
        <f t="shared" si="87"/>
        <v/>
      </c>
      <c r="AC231" s="39" t="s">
        <v>0</v>
      </c>
      <c r="AD231" s="37" t="str">
        <f t="shared" si="88"/>
        <v/>
      </c>
      <c r="AE231" s="56"/>
      <c r="AF231" s="37" t="str">
        <f t="shared" si="89"/>
        <v/>
      </c>
      <c r="AG231" s="39" t="s">
        <v>0</v>
      </c>
      <c r="AH231" s="37" t="str">
        <f t="shared" si="90"/>
        <v/>
      </c>
      <c r="AJ231" s="4" t="str">
        <f t="shared" si="93"/>
        <v>Ort</v>
      </c>
    </row>
    <row r="232" spans="1:40" ht="15.75" hidden="1">
      <c r="A232" s="3" t="str">
        <f t="shared" si="91"/>
        <v/>
      </c>
      <c r="B232" s="349" t="str">
        <f t="shared" si="92"/>
        <v>00.00.2018</v>
      </c>
      <c r="C232" s="40" t="s">
        <v>75</v>
      </c>
      <c r="D232" s="41">
        <v>6</v>
      </c>
      <c r="E232" s="3">
        <v>1</v>
      </c>
      <c r="F232" s="3" t="str">
        <f>IF(H232&lt;21,COUNTIF(H$6:H232,"&lt;21"),"")</f>
        <v/>
      </c>
      <c r="G232" s="7" t="str">
        <f t="shared" si="94"/>
        <v/>
      </c>
      <c r="H232" s="348">
        <v>21</v>
      </c>
      <c r="I232" s="29" t="s">
        <v>16</v>
      </c>
      <c r="J232" s="348">
        <v>21</v>
      </c>
      <c r="K232" s="7" t="str">
        <f t="shared" si="83"/>
        <v/>
      </c>
      <c r="L232" s="348">
        <v>21</v>
      </c>
      <c r="M232" s="7" t="str">
        <f t="shared" si="84"/>
        <v/>
      </c>
      <c r="N232" s="38"/>
      <c r="O232" s="39" t="s">
        <v>0</v>
      </c>
      <c r="P232" s="38"/>
      <c r="Q232" s="38"/>
      <c r="R232" s="39" t="s">
        <v>0</v>
      </c>
      <c r="S232" s="38"/>
      <c r="T232" s="38"/>
      <c r="U232" s="39" t="s">
        <v>0</v>
      </c>
      <c r="V232" s="38"/>
      <c r="W232" s="37"/>
      <c r="X232" s="37" t="str">
        <f t="shared" si="85"/>
        <v/>
      </c>
      <c r="Y232" s="39" t="s">
        <v>0</v>
      </c>
      <c r="Z232" s="37" t="str">
        <f t="shared" si="86"/>
        <v/>
      </c>
      <c r="AA232" s="37"/>
      <c r="AB232" s="37" t="str">
        <f t="shared" si="87"/>
        <v/>
      </c>
      <c r="AC232" s="39" t="s">
        <v>0</v>
      </c>
      <c r="AD232" s="37" t="str">
        <f t="shared" si="88"/>
        <v/>
      </c>
      <c r="AE232" s="56"/>
      <c r="AF232" s="37" t="str">
        <f t="shared" si="89"/>
        <v/>
      </c>
      <c r="AG232" s="39" t="s">
        <v>0</v>
      </c>
      <c r="AH232" s="37" t="str">
        <f t="shared" si="90"/>
        <v/>
      </c>
      <c r="AJ232" s="4" t="str">
        <f t="shared" si="93"/>
        <v>Ort</v>
      </c>
    </row>
    <row r="233" spans="1:40" ht="15.75" hidden="1">
      <c r="A233" s="3" t="str">
        <f t="shared" si="91"/>
        <v/>
      </c>
      <c r="B233" s="349" t="str">
        <f t="shared" si="92"/>
        <v>00.00.2018</v>
      </c>
      <c r="C233" s="40" t="s">
        <v>75</v>
      </c>
      <c r="D233" s="41">
        <v>6</v>
      </c>
      <c r="E233" s="3">
        <v>1</v>
      </c>
      <c r="F233" s="3" t="str">
        <f>IF(H233&lt;21,COUNTIF(H$6:H233,"&lt;21"),"")</f>
        <v/>
      </c>
      <c r="G233" s="7" t="str">
        <f t="shared" si="94"/>
        <v/>
      </c>
      <c r="H233" s="348">
        <v>21</v>
      </c>
      <c r="I233" s="29" t="s">
        <v>16</v>
      </c>
      <c r="J233" s="348">
        <v>21</v>
      </c>
      <c r="K233" s="7" t="str">
        <f t="shared" si="83"/>
        <v/>
      </c>
      <c r="L233" s="348">
        <v>21</v>
      </c>
      <c r="M233" s="7" t="str">
        <f t="shared" si="84"/>
        <v/>
      </c>
      <c r="N233" s="38"/>
      <c r="O233" s="39" t="s">
        <v>0</v>
      </c>
      <c r="P233" s="38"/>
      <c r="Q233" s="38"/>
      <c r="R233" s="39" t="s">
        <v>0</v>
      </c>
      <c r="S233" s="38"/>
      <c r="T233" s="38"/>
      <c r="U233" s="39" t="s">
        <v>0</v>
      </c>
      <c r="V233" s="38"/>
      <c r="W233" s="37"/>
      <c r="X233" s="37" t="str">
        <f t="shared" si="85"/>
        <v/>
      </c>
      <c r="Y233" s="39" t="s">
        <v>0</v>
      </c>
      <c r="Z233" s="37" t="str">
        <f t="shared" si="86"/>
        <v/>
      </c>
      <c r="AA233" s="37"/>
      <c r="AB233" s="37" t="str">
        <f t="shared" si="87"/>
        <v/>
      </c>
      <c r="AC233" s="39" t="s">
        <v>0</v>
      </c>
      <c r="AD233" s="37" t="str">
        <f t="shared" si="88"/>
        <v/>
      </c>
      <c r="AE233" s="56"/>
      <c r="AF233" s="37" t="str">
        <f t="shared" si="89"/>
        <v/>
      </c>
      <c r="AG233" s="39" t="s">
        <v>0</v>
      </c>
      <c r="AH233" s="37" t="str">
        <f t="shared" si="90"/>
        <v/>
      </c>
      <c r="AJ233" s="4" t="str">
        <f t="shared" si="93"/>
        <v>Ort</v>
      </c>
    </row>
    <row r="234" spans="1:40" ht="15.75" hidden="1">
      <c r="A234" s="3" t="str">
        <f t="shared" si="91"/>
        <v/>
      </c>
      <c r="B234" s="349" t="str">
        <f t="shared" si="92"/>
        <v>00.00.2018</v>
      </c>
      <c r="C234" s="40" t="s">
        <v>75</v>
      </c>
      <c r="D234" s="41">
        <v>5</v>
      </c>
      <c r="E234" s="3">
        <v>1</v>
      </c>
      <c r="F234" s="3" t="str">
        <f>IF(H234&lt;21,COUNTIF(H$6:H234,"&lt;21"),"")</f>
        <v/>
      </c>
      <c r="G234" s="7" t="str">
        <f t="shared" si="94"/>
        <v/>
      </c>
      <c r="H234" s="348">
        <v>21</v>
      </c>
      <c r="I234" s="29" t="s">
        <v>16</v>
      </c>
      <c r="J234" s="348">
        <v>21</v>
      </c>
      <c r="K234" s="7" t="str">
        <f t="shared" si="83"/>
        <v/>
      </c>
      <c r="L234" s="348">
        <v>21</v>
      </c>
      <c r="M234" s="7" t="str">
        <f t="shared" si="84"/>
        <v/>
      </c>
      <c r="N234" s="38"/>
      <c r="O234" s="39" t="s">
        <v>0</v>
      </c>
      <c r="P234" s="38"/>
      <c r="Q234" s="38"/>
      <c r="R234" s="39" t="s">
        <v>0</v>
      </c>
      <c r="S234" s="38"/>
      <c r="T234" s="38"/>
      <c r="U234" s="39" t="s">
        <v>0</v>
      </c>
      <c r="V234" s="38"/>
      <c r="W234" s="37"/>
      <c r="X234" s="37" t="str">
        <f t="shared" si="85"/>
        <v/>
      </c>
      <c r="Y234" s="39" t="s">
        <v>0</v>
      </c>
      <c r="Z234" s="37" t="str">
        <f t="shared" si="86"/>
        <v/>
      </c>
      <c r="AA234" s="37"/>
      <c r="AB234" s="37" t="str">
        <f t="shared" si="87"/>
        <v/>
      </c>
      <c r="AC234" s="39" t="s">
        <v>0</v>
      </c>
      <c r="AD234" s="37" t="str">
        <f t="shared" si="88"/>
        <v/>
      </c>
      <c r="AE234" s="56"/>
      <c r="AF234" s="37" t="str">
        <f t="shared" si="89"/>
        <v/>
      </c>
      <c r="AG234" s="39" t="s">
        <v>0</v>
      </c>
      <c r="AH234" s="37" t="str">
        <f t="shared" si="90"/>
        <v/>
      </c>
      <c r="AJ234" s="4" t="str">
        <f t="shared" si="93"/>
        <v>Ort</v>
      </c>
    </row>
    <row r="235" spans="1:40" ht="15.75" hidden="1">
      <c r="A235" s="3" t="str">
        <f t="shared" si="91"/>
        <v/>
      </c>
      <c r="B235" s="349" t="str">
        <f t="shared" si="92"/>
        <v>00.00.2018</v>
      </c>
      <c r="C235" s="40" t="s">
        <v>75</v>
      </c>
      <c r="D235" s="41">
        <v>5</v>
      </c>
      <c r="E235" s="3">
        <v>1</v>
      </c>
      <c r="F235" s="3" t="str">
        <f>IF(H235&lt;21,COUNTIF(H$6:H235,"&lt;21"),"")</f>
        <v/>
      </c>
      <c r="G235" s="7" t="str">
        <f t="shared" si="94"/>
        <v/>
      </c>
      <c r="H235" s="348">
        <v>21</v>
      </c>
      <c r="I235" s="29" t="s">
        <v>16</v>
      </c>
      <c r="J235" s="348">
        <v>21</v>
      </c>
      <c r="K235" s="7" t="str">
        <f t="shared" si="83"/>
        <v/>
      </c>
      <c r="L235" s="348">
        <v>21</v>
      </c>
      <c r="M235" s="7" t="str">
        <f t="shared" si="84"/>
        <v/>
      </c>
      <c r="N235" s="38"/>
      <c r="O235" s="39" t="s">
        <v>0</v>
      </c>
      <c r="P235" s="38"/>
      <c r="Q235" s="38"/>
      <c r="R235" s="39" t="s">
        <v>0</v>
      </c>
      <c r="S235" s="38"/>
      <c r="T235" s="38"/>
      <c r="U235" s="39" t="s">
        <v>0</v>
      </c>
      <c r="V235" s="38"/>
      <c r="W235" s="37"/>
      <c r="X235" s="37" t="str">
        <f t="shared" si="85"/>
        <v/>
      </c>
      <c r="Y235" s="39" t="s">
        <v>0</v>
      </c>
      <c r="Z235" s="37" t="str">
        <f t="shared" si="86"/>
        <v/>
      </c>
      <c r="AA235" s="37"/>
      <c r="AB235" s="37" t="str">
        <f t="shared" si="87"/>
        <v/>
      </c>
      <c r="AC235" s="39" t="s">
        <v>0</v>
      </c>
      <c r="AD235" s="37" t="str">
        <f t="shared" si="88"/>
        <v/>
      </c>
      <c r="AE235" s="56"/>
      <c r="AF235" s="37" t="str">
        <f t="shared" si="89"/>
        <v/>
      </c>
      <c r="AG235" s="39" t="s">
        <v>0</v>
      </c>
      <c r="AH235" s="37" t="str">
        <f t="shared" si="90"/>
        <v/>
      </c>
      <c r="AJ235" s="4" t="str">
        <f t="shared" si="93"/>
        <v>Ort</v>
      </c>
    </row>
    <row r="236" spans="1:40" ht="15.75" hidden="1">
      <c r="A236" s="3" t="str">
        <f t="shared" si="91"/>
        <v/>
      </c>
      <c r="B236" s="349" t="str">
        <f t="shared" si="92"/>
        <v>00.00.2018</v>
      </c>
      <c r="C236" s="40" t="s">
        <v>75</v>
      </c>
      <c r="D236" s="41">
        <v>6</v>
      </c>
      <c r="E236" s="3">
        <v>1</v>
      </c>
      <c r="F236" s="3" t="str">
        <f>IF(H236&lt;21,COUNTIF(H$6:H236,"&lt;21"),"")</f>
        <v/>
      </c>
      <c r="G236" s="7" t="str">
        <f t="shared" si="94"/>
        <v/>
      </c>
      <c r="H236" s="348">
        <v>21</v>
      </c>
      <c r="I236" s="29" t="s">
        <v>16</v>
      </c>
      <c r="J236" s="348">
        <v>21</v>
      </c>
      <c r="K236" s="7" t="str">
        <f t="shared" si="83"/>
        <v/>
      </c>
      <c r="L236" s="348">
        <v>21</v>
      </c>
      <c r="M236" s="7" t="str">
        <f t="shared" si="84"/>
        <v/>
      </c>
      <c r="N236" s="38"/>
      <c r="O236" s="39" t="s">
        <v>0</v>
      </c>
      <c r="P236" s="38"/>
      <c r="Q236" s="38"/>
      <c r="R236" s="39" t="s">
        <v>0</v>
      </c>
      <c r="S236" s="38"/>
      <c r="T236" s="38"/>
      <c r="U236" s="39" t="s">
        <v>0</v>
      </c>
      <c r="V236" s="38"/>
      <c r="W236" s="37"/>
      <c r="X236" s="37" t="str">
        <f t="shared" si="85"/>
        <v/>
      </c>
      <c r="Y236" s="39" t="s">
        <v>0</v>
      </c>
      <c r="Z236" s="37" t="str">
        <f t="shared" si="86"/>
        <v/>
      </c>
      <c r="AA236" s="37"/>
      <c r="AB236" s="37" t="str">
        <f t="shared" si="87"/>
        <v/>
      </c>
      <c r="AC236" s="39" t="s">
        <v>0</v>
      </c>
      <c r="AD236" s="37" t="str">
        <f t="shared" si="88"/>
        <v/>
      </c>
      <c r="AE236" s="56"/>
      <c r="AF236" s="37" t="str">
        <f t="shared" si="89"/>
        <v/>
      </c>
      <c r="AG236" s="39" t="s">
        <v>0</v>
      </c>
      <c r="AH236" s="37" t="str">
        <f t="shared" si="90"/>
        <v/>
      </c>
      <c r="AJ236" s="4" t="str">
        <f t="shared" si="93"/>
        <v>Ort</v>
      </c>
    </row>
    <row r="237" spans="1:40" ht="15.75" hidden="1">
      <c r="A237" s="3" t="str">
        <f t="shared" si="91"/>
        <v/>
      </c>
      <c r="B237" s="349" t="str">
        <f t="shared" si="92"/>
        <v>00.00.2018</v>
      </c>
      <c r="C237" s="40" t="s">
        <v>75</v>
      </c>
      <c r="D237" s="41">
        <v>6</v>
      </c>
      <c r="E237" s="3">
        <v>1</v>
      </c>
      <c r="F237" s="3" t="str">
        <f>IF(H237&lt;21,COUNTIF(H$6:H237,"&lt;21"),"")</f>
        <v/>
      </c>
      <c r="G237" s="7" t="str">
        <f t="shared" si="94"/>
        <v/>
      </c>
      <c r="H237" s="348">
        <v>21</v>
      </c>
      <c r="I237" s="29" t="s">
        <v>16</v>
      </c>
      <c r="J237" s="348">
        <v>21</v>
      </c>
      <c r="K237" s="7" t="str">
        <f t="shared" si="83"/>
        <v/>
      </c>
      <c r="L237" s="348">
        <v>21</v>
      </c>
      <c r="M237" s="7" t="str">
        <f t="shared" si="84"/>
        <v/>
      </c>
      <c r="N237" s="38"/>
      <c r="O237" s="39" t="s">
        <v>0</v>
      </c>
      <c r="P237" s="38"/>
      <c r="Q237" s="38"/>
      <c r="R237" s="39" t="s">
        <v>0</v>
      </c>
      <c r="S237" s="38"/>
      <c r="T237" s="38"/>
      <c r="U237" s="39" t="s">
        <v>0</v>
      </c>
      <c r="V237" s="38"/>
      <c r="W237" s="37"/>
      <c r="X237" s="37" t="str">
        <f t="shared" si="85"/>
        <v/>
      </c>
      <c r="Y237" s="39" t="s">
        <v>0</v>
      </c>
      <c r="Z237" s="37" t="str">
        <f t="shared" si="86"/>
        <v/>
      </c>
      <c r="AA237" s="37"/>
      <c r="AB237" s="37" t="str">
        <f t="shared" si="87"/>
        <v/>
      </c>
      <c r="AC237" s="39" t="s">
        <v>0</v>
      </c>
      <c r="AD237" s="37" t="str">
        <f t="shared" si="88"/>
        <v/>
      </c>
      <c r="AE237" s="56"/>
      <c r="AF237" s="37" t="str">
        <f t="shared" si="89"/>
        <v/>
      </c>
      <c r="AG237" s="39" t="s">
        <v>0</v>
      </c>
      <c r="AH237" s="37" t="str">
        <f t="shared" si="90"/>
        <v/>
      </c>
      <c r="AJ237" s="4" t="str">
        <f t="shared" si="93"/>
        <v>Ort</v>
      </c>
    </row>
    <row r="238" spans="1:40" ht="15.75" hidden="1">
      <c r="A238" s="3" t="str">
        <f t="shared" si="91"/>
        <v/>
      </c>
      <c r="B238" s="349" t="str">
        <f t="shared" si="92"/>
        <v>00.00.2018</v>
      </c>
      <c r="C238" s="40" t="s">
        <v>75</v>
      </c>
      <c r="D238" s="41">
        <v>6</v>
      </c>
      <c r="E238" s="3">
        <v>1</v>
      </c>
      <c r="F238" s="3" t="str">
        <f>IF(H238&lt;21,COUNTIF(H$6:H238,"&lt;21"),"")</f>
        <v/>
      </c>
      <c r="G238" s="7" t="str">
        <f t="shared" si="94"/>
        <v/>
      </c>
      <c r="H238" s="348">
        <v>21</v>
      </c>
      <c r="I238" s="29" t="s">
        <v>16</v>
      </c>
      <c r="J238" s="348">
        <v>21</v>
      </c>
      <c r="K238" s="7" t="str">
        <f t="shared" si="83"/>
        <v/>
      </c>
      <c r="L238" s="348">
        <v>21</v>
      </c>
      <c r="M238" s="7" t="str">
        <f t="shared" si="84"/>
        <v/>
      </c>
      <c r="N238" s="38"/>
      <c r="O238" s="39" t="s">
        <v>0</v>
      </c>
      <c r="P238" s="38"/>
      <c r="Q238" s="38"/>
      <c r="R238" s="39" t="s">
        <v>0</v>
      </c>
      <c r="S238" s="38"/>
      <c r="T238" s="38"/>
      <c r="U238" s="39" t="s">
        <v>0</v>
      </c>
      <c r="V238" s="38"/>
      <c r="W238" s="37"/>
      <c r="X238" s="37" t="str">
        <f t="shared" si="85"/>
        <v/>
      </c>
      <c r="Y238" s="39" t="s">
        <v>0</v>
      </c>
      <c r="Z238" s="37" t="str">
        <f t="shared" si="86"/>
        <v/>
      </c>
      <c r="AA238" s="37"/>
      <c r="AB238" s="37" t="str">
        <f t="shared" si="87"/>
        <v/>
      </c>
      <c r="AC238" s="39" t="s">
        <v>0</v>
      </c>
      <c r="AD238" s="37" t="str">
        <f t="shared" si="88"/>
        <v/>
      </c>
      <c r="AE238" s="56"/>
      <c r="AF238" s="37" t="str">
        <f t="shared" si="89"/>
        <v/>
      </c>
      <c r="AG238" s="39" t="s">
        <v>0</v>
      </c>
      <c r="AH238" s="37" t="str">
        <f t="shared" si="90"/>
        <v/>
      </c>
      <c r="AJ238" s="4" t="str">
        <f t="shared" si="93"/>
        <v>Ort</v>
      </c>
    </row>
    <row r="239" spans="1:40" ht="15.75" hidden="1">
      <c r="A239" s="3" t="str">
        <f t="shared" si="91"/>
        <v/>
      </c>
      <c r="B239" s="349" t="str">
        <f t="shared" si="92"/>
        <v>00.00.2018</v>
      </c>
      <c r="C239" s="40" t="s">
        <v>75</v>
      </c>
      <c r="D239" s="41">
        <v>6</v>
      </c>
      <c r="E239" s="3">
        <v>1</v>
      </c>
      <c r="F239" s="3" t="str">
        <f>IF(H239&lt;21,COUNTIF(H$6:H239,"&lt;21"),"")</f>
        <v/>
      </c>
      <c r="G239" s="7" t="str">
        <f t="shared" si="94"/>
        <v/>
      </c>
      <c r="H239" s="348">
        <v>21</v>
      </c>
      <c r="I239" s="29" t="s">
        <v>16</v>
      </c>
      <c r="J239" s="348">
        <v>21</v>
      </c>
      <c r="K239" s="7" t="str">
        <f t="shared" si="83"/>
        <v/>
      </c>
      <c r="L239" s="348">
        <v>21</v>
      </c>
      <c r="M239" s="7" t="str">
        <f t="shared" si="84"/>
        <v/>
      </c>
      <c r="N239" s="38"/>
      <c r="O239" s="39" t="s">
        <v>0</v>
      </c>
      <c r="P239" s="38"/>
      <c r="Q239" s="38"/>
      <c r="R239" s="39" t="s">
        <v>0</v>
      </c>
      <c r="S239" s="38"/>
      <c r="T239" s="38"/>
      <c r="U239" s="39" t="s">
        <v>0</v>
      </c>
      <c r="V239" s="38"/>
      <c r="W239" s="37"/>
      <c r="X239" s="37" t="str">
        <f t="shared" si="85"/>
        <v/>
      </c>
      <c r="Y239" s="39" t="s">
        <v>0</v>
      </c>
      <c r="Z239" s="37" t="str">
        <f t="shared" si="86"/>
        <v/>
      </c>
      <c r="AA239" s="37"/>
      <c r="AB239" s="37" t="str">
        <f t="shared" si="87"/>
        <v/>
      </c>
      <c r="AC239" s="39" t="s">
        <v>0</v>
      </c>
      <c r="AD239" s="37" t="str">
        <f t="shared" si="88"/>
        <v/>
      </c>
      <c r="AE239" s="56"/>
      <c r="AF239" s="37" t="str">
        <f t="shared" si="89"/>
        <v/>
      </c>
      <c r="AG239" s="39" t="s">
        <v>0</v>
      </c>
      <c r="AH239" s="37" t="str">
        <f t="shared" si="90"/>
        <v/>
      </c>
      <c r="AJ239" s="4" t="str">
        <f t="shared" si="93"/>
        <v>Ort</v>
      </c>
    </row>
    <row r="240" spans="1:40">
      <c r="A240" s="346"/>
      <c r="W240" s="34"/>
      <c r="X240" s="34"/>
      <c r="Y240" s="34"/>
      <c r="Z240" s="34"/>
      <c r="AE240" s="57"/>
    </row>
    <row r="241" spans="1:38">
      <c r="A241" s="148"/>
      <c r="B241" s="149"/>
      <c r="W241" s="34"/>
      <c r="X241" s="34"/>
      <c r="Y241" s="34"/>
      <c r="Z241" s="34"/>
      <c r="AE241" s="57"/>
    </row>
    <row r="242" spans="1:38">
      <c r="A242" s="148"/>
      <c r="B242" s="149"/>
      <c r="W242" s="34"/>
      <c r="X242" s="34"/>
      <c r="Y242" s="34"/>
      <c r="Z242" s="34"/>
      <c r="AE242" s="57"/>
      <c r="AL242" s="4" t="s">
        <v>131</v>
      </c>
    </row>
  </sheetData>
  <sheetProtection selectLockedCells="1"/>
  <dataConsolidate/>
  <mergeCells count="45">
    <mergeCell ref="N209:P209"/>
    <mergeCell ref="Q209:S209"/>
    <mergeCell ref="T209:V209"/>
    <mergeCell ref="X209:Z209"/>
    <mergeCell ref="AB209:AD209"/>
    <mergeCell ref="AF209:AH209"/>
    <mergeCell ref="AF107:AH107"/>
    <mergeCell ref="N141:P141"/>
    <mergeCell ref="Q141:S141"/>
    <mergeCell ref="T141:V141"/>
    <mergeCell ref="X141:Z141"/>
    <mergeCell ref="AB141:AD141"/>
    <mergeCell ref="AF141:AH141"/>
    <mergeCell ref="AF73:AH73"/>
    <mergeCell ref="N39:P39"/>
    <mergeCell ref="Q39:S39"/>
    <mergeCell ref="T39:V39"/>
    <mergeCell ref="X39:Z39"/>
    <mergeCell ref="AB39:AD39"/>
    <mergeCell ref="AF39:AH39"/>
    <mergeCell ref="N73:P73"/>
    <mergeCell ref="Q73:S73"/>
    <mergeCell ref="T73:V73"/>
    <mergeCell ref="X73:Z73"/>
    <mergeCell ref="AB73:AD73"/>
    <mergeCell ref="N107:P107"/>
    <mergeCell ref="Q107:S107"/>
    <mergeCell ref="T107:V107"/>
    <mergeCell ref="X107:Z107"/>
    <mergeCell ref="AB107:AD107"/>
    <mergeCell ref="F1:Y1"/>
    <mergeCell ref="AF5:AH5"/>
    <mergeCell ref="Q5:S5"/>
    <mergeCell ref="X5:Z5"/>
    <mergeCell ref="F2:Y2"/>
    <mergeCell ref="AB5:AD5"/>
    <mergeCell ref="T5:V5"/>
    <mergeCell ref="N5:P5"/>
    <mergeCell ref="F3:Y3"/>
    <mergeCell ref="N175:P175"/>
    <mergeCell ref="Q175:S175"/>
    <mergeCell ref="T175:V175"/>
    <mergeCell ref="X175:Z175"/>
    <mergeCell ref="AB175:AD175"/>
    <mergeCell ref="AF175:AH175"/>
  </mergeCells>
  <phoneticPr fontId="0" type="noConversion"/>
  <conditionalFormatting sqref="H1:J39 H54:J73 I40:I53 H88:J107 I74:I87 H122:J141 I108:I121 H158:J173 I142:I157 H207:J65536">
    <cfRule type="cellIs" dxfId="223" priority="241" stopIfTrue="1" operator="between">
      <formula>8</formula>
      <formula>8</formula>
    </cfRule>
    <cfRule type="cellIs" dxfId="222" priority="242" stopIfTrue="1" operator="between">
      <formula>7</formula>
      <formula>7</formula>
    </cfRule>
    <cfRule type="cellIs" dxfId="221" priority="243" stopIfTrue="1" operator="between">
      <formula>6</formula>
      <formula>6</formula>
    </cfRule>
    <cfRule type="cellIs" dxfId="139" priority="244" stopIfTrue="1" operator="between">
      <formula>5</formula>
      <formula>5</formula>
    </cfRule>
    <cfRule type="cellIs" dxfId="138" priority="245" stopIfTrue="1" operator="between">
      <formula>4</formula>
      <formula>4</formula>
    </cfRule>
    <cfRule type="cellIs" dxfId="137" priority="246" stopIfTrue="1" operator="between">
      <formula>3</formula>
      <formula>3</formula>
    </cfRule>
    <cfRule type="cellIs" dxfId="136" priority="247" stopIfTrue="1" operator="between">
      <formula>2</formula>
      <formula>2</formula>
    </cfRule>
    <cfRule type="cellIs" dxfId="135" priority="248" stopIfTrue="1" operator="between">
      <formula>1</formula>
      <formula>1</formula>
    </cfRule>
  </conditionalFormatting>
  <conditionalFormatting sqref="H174:J175 H194:J206 I176:I193">
    <cfRule type="cellIs" dxfId="220" priority="233" stopIfTrue="1" operator="between">
      <formula>8</formula>
      <formula>8</formula>
    </cfRule>
    <cfRule type="cellIs" dxfId="219" priority="234" stopIfTrue="1" operator="between">
      <formula>7</formula>
      <formula>7</formula>
    </cfRule>
    <cfRule type="cellIs" dxfId="218" priority="235" stopIfTrue="1" operator="between">
      <formula>6</formula>
      <formula>6</formula>
    </cfRule>
    <cfRule type="cellIs" dxfId="134" priority="236" stopIfTrue="1" operator="between">
      <formula>5</formula>
      <formula>5</formula>
    </cfRule>
    <cfRule type="cellIs" dxfId="133" priority="237" stopIfTrue="1" operator="between">
      <formula>4</formula>
      <formula>4</formula>
    </cfRule>
    <cfRule type="cellIs" dxfId="132" priority="238" stopIfTrue="1" operator="between">
      <formula>3</formula>
      <formula>3</formula>
    </cfRule>
    <cfRule type="cellIs" dxfId="131" priority="239" stopIfTrue="1" operator="between">
      <formula>2</formula>
      <formula>2</formula>
    </cfRule>
    <cfRule type="cellIs" dxfId="130" priority="240" stopIfTrue="1" operator="between">
      <formula>1</formula>
      <formula>1</formula>
    </cfRule>
  </conditionalFormatting>
  <conditionalFormatting sqref="L6:L15">
    <cfRule type="cellIs" dxfId="217" priority="225" stopIfTrue="1" operator="between">
      <formula>8</formula>
      <formula>8</formula>
    </cfRule>
    <cfRule type="cellIs" dxfId="216" priority="226" stopIfTrue="1" operator="between">
      <formula>7</formula>
      <formula>7</formula>
    </cfRule>
    <cfRule type="cellIs" dxfId="215" priority="227" stopIfTrue="1" operator="between">
      <formula>6</formula>
      <formula>6</formula>
    </cfRule>
    <cfRule type="cellIs" dxfId="129" priority="228" stopIfTrue="1" operator="between">
      <formula>5</formula>
      <formula>5</formula>
    </cfRule>
    <cfRule type="cellIs" dxfId="128" priority="229" stopIfTrue="1" operator="between">
      <formula>4</formula>
      <formula>4</formula>
    </cfRule>
    <cfRule type="cellIs" dxfId="127" priority="230" stopIfTrue="1" operator="between">
      <formula>3</formula>
      <formula>3</formula>
    </cfRule>
    <cfRule type="cellIs" dxfId="126" priority="231" stopIfTrue="1" operator="between">
      <formula>2</formula>
      <formula>2</formula>
    </cfRule>
    <cfRule type="cellIs" dxfId="125" priority="232" stopIfTrue="1" operator="between">
      <formula>1</formula>
      <formula>1</formula>
    </cfRule>
  </conditionalFormatting>
  <conditionalFormatting sqref="H192:H193">
    <cfRule type="cellIs" dxfId="214" priority="217" stopIfTrue="1" operator="between">
      <formula>8</formula>
      <formula>8</formula>
    </cfRule>
    <cfRule type="cellIs" dxfId="213" priority="218" stopIfTrue="1" operator="between">
      <formula>7</formula>
      <formula>7</formula>
    </cfRule>
    <cfRule type="cellIs" dxfId="212" priority="219" stopIfTrue="1" operator="between">
      <formula>6</formula>
      <formula>6</formula>
    </cfRule>
    <cfRule type="cellIs" dxfId="124" priority="220" stopIfTrue="1" operator="between">
      <formula>5</formula>
      <formula>5</formula>
    </cfRule>
    <cfRule type="cellIs" dxfId="123" priority="221" stopIfTrue="1" operator="between">
      <formula>4</formula>
      <formula>4</formula>
    </cfRule>
    <cfRule type="cellIs" dxfId="122" priority="222" stopIfTrue="1" operator="between">
      <formula>3</formula>
      <formula>3</formula>
    </cfRule>
    <cfRule type="cellIs" dxfId="121" priority="223" stopIfTrue="1" operator="between">
      <formula>2</formula>
      <formula>2</formula>
    </cfRule>
    <cfRule type="cellIs" dxfId="120" priority="224" stopIfTrue="1" operator="between">
      <formula>1</formula>
      <formula>1</formula>
    </cfRule>
  </conditionalFormatting>
  <conditionalFormatting sqref="J192:J193">
    <cfRule type="cellIs" dxfId="211" priority="209" stopIfTrue="1" operator="between">
      <formula>8</formula>
      <formula>8</formula>
    </cfRule>
    <cfRule type="cellIs" dxfId="210" priority="210" stopIfTrue="1" operator="between">
      <formula>7</formula>
      <formula>7</formula>
    </cfRule>
    <cfRule type="cellIs" dxfId="209" priority="211" stopIfTrue="1" operator="between">
      <formula>6</formula>
      <formula>6</formula>
    </cfRule>
    <cfRule type="cellIs" dxfId="119" priority="212" stopIfTrue="1" operator="between">
      <formula>5</formula>
      <formula>5</formula>
    </cfRule>
    <cfRule type="cellIs" dxfId="118" priority="213" stopIfTrue="1" operator="between">
      <formula>4</formula>
      <formula>4</formula>
    </cfRule>
    <cfRule type="cellIs" dxfId="117" priority="214" stopIfTrue="1" operator="between">
      <formula>3</formula>
      <formula>3</formula>
    </cfRule>
    <cfRule type="cellIs" dxfId="116" priority="215" stopIfTrue="1" operator="between">
      <formula>2</formula>
      <formula>2</formula>
    </cfRule>
    <cfRule type="cellIs" dxfId="115" priority="216" stopIfTrue="1" operator="between">
      <formula>1</formula>
      <formula>1</formula>
    </cfRule>
  </conditionalFormatting>
  <conditionalFormatting sqref="L192:L193">
    <cfRule type="cellIs" dxfId="208" priority="201" stopIfTrue="1" operator="between">
      <formula>8</formula>
      <formula>8</formula>
    </cfRule>
    <cfRule type="cellIs" dxfId="207" priority="202" stopIfTrue="1" operator="between">
      <formula>7</formula>
      <formula>7</formula>
    </cfRule>
    <cfRule type="cellIs" dxfId="206" priority="203" stopIfTrue="1" operator="between">
      <formula>6</formula>
      <formula>6</formula>
    </cfRule>
    <cfRule type="cellIs" dxfId="114" priority="204" stopIfTrue="1" operator="between">
      <formula>5</formula>
      <formula>5</formula>
    </cfRule>
    <cfRule type="cellIs" dxfId="113" priority="205" stopIfTrue="1" operator="between">
      <formula>4</formula>
      <formula>4</formula>
    </cfRule>
    <cfRule type="cellIs" dxfId="112" priority="206" stopIfTrue="1" operator="between">
      <formula>3</formula>
      <formula>3</formula>
    </cfRule>
    <cfRule type="cellIs" dxfId="111" priority="207" stopIfTrue="1" operator="between">
      <formula>2</formula>
      <formula>2</formula>
    </cfRule>
    <cfRule type="cellIs" dxfId="110" priority="208" stopIfTrue="1" operator="between">
      <formula>1</formula>
      <formula>1</formula>
    </cfRule>
  </conditionalFormatting>
  <conditionalFormatting sqref="H40:H49">
    <cfRule type="cellIs" dxfId="205" priority="193" stopIfTrue="1" operator="between">
      <formula>8</formula>
      <formula>8</formula>
    </cfRule>
    <cfRule type="cellIs" dxfId="204" priority="194" stopIfTrue="1" operator="between">
      <formula>7</formula>
      <formula>7</formula>
    </cfRule>
    <cfRule type="cellIs" dxfId="203" priority="195" stopIfTrue="1" operator="between">
      <formula>6</formula>
      <formula>6</formula>
    </cfRule>
    <cfRule type="cellIs" dxfId="109" priority="196" stopIfTrue="1" operator="between">
      <formula>5</formula>
      <formula>5</formula>
    </cfRule>
    <cfRule type="cellIs" dxfId="108" priority="197" stopIfTrue="1" operator="between">
      <formula>4</formula>
      <formula>4</formula>
    </cfRule>
    <cfRule type="cellIs" dxfId="107" priority="198" stopIfTrue="1" operator="between">
      <formula>3</formula>
      <formula>3</formula>
    </cfRule>
    <cfRule type="cellIs" dxfId="106" priority="199" stopIfTrue="1" operator="between">
      <formula>2</formula>
      <formula>2</formula>
    </cfRule>
    <cfRule type="cellIs" dxfId="105" priority="200" stopIfTrue="1" operator="between">
      <formula>1</formula>
      <formula>1</formula>
    </cfRule>
  </conditionalFormatting>
  <conditionalFormatting sqref="J40:J49">
    <cfRule type="cellIs" dxfId="202" priority="185" stopIfTrue="1" operator="between">
      <formula>8</formula>
      <formula>8</formula>
    </cfRule>
    <cfRule type="cellIs" dxfId="201" priority="186" stopIfTrue="1" operator="between">
      <formula>7</formula>
      <formula>7</formula>
    </cfRule>
    <cfRule type="cellIs" dxfId="200" priority="187" stopIfTrue="1" operator="between">
      <formula>6</formula>
      <formula>6</formula>
    </cfRule>
    <cfRule type="cellIs" dxfId="104" priority="188" stopIfTrue="1" operator="between">
      <formula>5</formula>
      <formula>5</formula>
    </cfRule>
    <cfRule type="cellIs" dxfId="103" priority="189" stopIfTrue="1" operator="between">
      <formula>4</formula>
      <formula>4</formula>
    </cfRule>
    <cfRule type="cellIs" dxfId="102" priority="190" stopIfTrue="1" operator="between">
      <formula>3</formula>
      <formula>3</formula>
    </cfRule>
    <cfRule type="cellIs" dxfId="101" priority="191" stopIfTrue="1" operator="between">
      <formula>2</formula>
      <formula>2</formula>
    </cfRule>
    <cfRule type="cellIs" dxfId="100" priority="192" stopIfTrue="1" operator="between">
      <formula>1</formula>
      <formula>1</formula>
    </cfRule>
  </conditionalFormatting>
  <conditionalFormatting sqref="L40:L49">
    <cfRule type="cellIs" dxfId="199" priority="177" stopIfTrue="1" operator="between">
      <formula>8</formula>
      <formula>8</formula>
    </cfRule>
    <cfRule type="cellIs" dxfId="198" priority="178" stopIfTrue="1" operator="between">
      <formula>7</formula>
      <formula>7</formula>
    </cfRule>
    <cfRule type="cellIs" dxfId="197" priority="179" stopIfTrue="1" operator="between">
      <formula>6</formula>
      <formula>6</formula>
    </cfRule>
    <cfRule type="cellIs" dxfId="99" priority="180" stopIfTrue="1" operator="between">
      <formula>5</formula>
      <formula>5</formula>
    </cfRule>
    <cfRule type="cellIs" dxfId="98" priority="181" stopIfTrue="1" operator="between">
      <formula>4</formula>
      <formula>4</formula>
    </cfRule>
    <cfRule type="cellIs" dxfId="97" priority="182" stopIfTrue="1" operator="between">
      <formula>3</formula>
      <formula>3</formula>
    </cfRule>
    <cfRule type="cellIs" dxfId="96" priority="183" stopIfTrue="1" operator="between">
      <formula>2</formula>
      <formula>2</formula>
    </cfRule>
    <cfRule type="cellIs" dxfId="95" priority="184" stopIfTrue="1" operator="between">
      <formula>1</formula>
      <formula>1</formula>
    </cfRule>
  </conditionalFormatting>
  <conditionalFormatting sqref="H74:H83">
    <cfRule type="cellIs" dxfId="196" priority="169" stopIfTrue="1" operator="between">
      <formula>8</formula>
      <formula>8</formula>
    </cfRule>
    <cfRule type="cellIs" dxfId="195" priority="170" stopIfTrue="1" operator="between">
      <formula>7</formula>
      <formula>7</formula>
    </cfRule>
    <cfRule type="cellIs" dxfId="194" priority="171" stopIfTrue="1" operator="between">
      <formula>6</formula>
      <formula>6</formula>
    </cfRule>
    <cfRule type="cellIs" dxfId="94" priority="172" stopIfTrue="1" operator="between">
      <formula>5</formula>
      <formula>5</formula>
    </cfRule>
    <cfRule type="cellIs" dxfId="93" priority="173" stopIfTrue="1" operator="between">
      <formula>4</formula>
      <formula>4</formula>
    </cfRule>
    <cfRule type="cellIs" dxfId="92" priority="174" stopIfTrue="1" operator="between">
      <formula>3</formula>
      <formula>3</formula>
    </cfRule>
    <cfRule type="cellIs" dxfId="91" priority="175" stopIfTrue="1" operator="between">
      <formula>2</formula>
      <formula>2</formula>
    </cfRule>
    <cfRule type="cellIs" dxfId="90" priority="176" stopIfTrue="1" operator="between">
      <formula>1</formula>
      <formula>1</formula>
    </cfRule>
  </conditionalFormatting>
  <conditionalFormatting sqref="J74:J83">
    <cfRule type="cellIs" dxfId="193" priority="161" stopIfTrue="1" operator="between">
      <formula>8</formula>
      <formula>8</formula>
    </cfRule>
    <cfRule type="cellIs" dxfId="192" priority="162" stopIfTrue="1" operator="between">
      <formula>7</formula>
      <formula>7</formula>
    </cfRule>
    <cfRule type="cellIs" dxfId="191" priority="163" stopIfTrue="1" operator="between">
      <formula>6</formula>
      <formula>6</formula>
    </cfRule>
    <cfRule type="cellIs" dxfId="89" priority="164" stopIfTrue="1" operator="between">
      <formula>5</formula>
      <formula>5</formula>
    </cfRule>
    <cfRule type="cellIs" dxfId="88" priority="165" stopIfTrue="1" operator="between">
      <formula>4</formula>
      <formula>4</formula>
    </cfRule>
    <cfRule type="cellIs" dxfId="87" priority="166" stopIfTrue="1" operator="between">
      <formula>3</formula>
      <formula>3</formula>
    </cfRule>
    <cfRule type="cellIs" dxfId="86" priority="167" stopIfTrue="1" operator="between">
      <formula>2</formula>
      <formula>2</formula>
    </cfRule>
    <cfRule type="cellIs" dxfId="85" priority="168" stopIfTrue="1" operator="between">
      <formula>1</formula>
      <formula>1</formula>
    </cfRule>
  </conditionalFormatting>
  <conditionalFormatting sqref="L74:L83">
    <cfRule type="cellIs" dxfId="190" priority="153" stopIfTrue="1" operator="between">
      <formula>8</formula>
      <formula>8</formula>
    </cfRule>
    <cfRule type="cellIs" dxfId="189" priority="154" stopIfTrue="1" operator="between">
      <formula>7</formula>
      <formula>7</formula>
    </cfRule>
    <cfRule type="cellIs" dxfId="188" priority="155" stopIfTrue="1" operator="between">
      <formula>6</formula>
      <formula>6</formula>
    </cfRule>
    <cfRule type="cellIs" dxfId="84" priority="156" stopIfTrue="1" operator="between">
      <formula>5</formula>
      <formula>5</formula>
    </cfRule>
    <cfRule type="cellIs" dxfId="83" priority="157" stopIfTrue="1" operator="between">
      <formula>4</formula>
      <formula>4</formula>
    </cfRule>
    <cfRule type="cellIs" dxfId="82" priority="158" stopIfTrue="1" operator="between">
      <formula>3</formula>
      <formula>3</formula>
    </cfRule>
    <cfRule type="cellIs" dxfId="81" priority="159" stopIfTrue="1" operator="between">
      <formula>2</formula>
      <formula>2</formula>
    </cfRule>
    <cfRule type="cellIs" dxfId="80" priority="160" stopIfTrue="1" operator="between">
      <formula>1</formula>
      <formula>1</formula>
    </cfRule>
  </conditionalFormatting>
  <conditionalFormatting sqref="H108:H117">
    <cfRule type="cellIs" dxfId="187" priority="145" stopIfTrue="1" operator="between">
      <formula>8</formula>
      <formula>8</formula>
    </cfRule>
    <cfRule type="cellIs" dxfId="186" priority="146" stopIfTrue="1" operator="between">
      <formula>7</formula>
      <formula>7</formula>
    </cfRule>
    <cfRule type="cellIs" dxfId="185" priority="147" stopIfTrue="1" operator="between">
      <formula>6</formula>
      <formula>6</formula>
    </cfRule>
    <cfRule type="cellIs" dxfId="79" priority="148" stopIfTrue="1" operator="between">
      <formula>5</formula>
      <formula>5</formula>
    </cfRule>
    <cfRule type="cellIs" dxfId="78" priority="149" stopIfTrue="1" operator="between">
      <formula>4</formula>
      <formula>4</formula>
    </cfRule>
    <cfRule type="cellIs" dxfId="77" priority="150" stopIfTrue="1" operator="between">
      <formula>3</formula>
      <formula>3</formula>
    </cfRule>
    <cfRule type="cellIs" dxfId="76" priority="151" stopIfTrue="1" operator="between">
      <formula>2</formula>
      <formula>2</formula>
    </cfRule>
    <cfRule type="cellIs" dxfId="75" priority="152" stopIfTrue="1" operator="between">
      <formula>1</formula>
      <formula>1</formula>
    </cfRule>
  </conditionalFormatting>
  <conditionalFormatting sqref="J108:J117">
    <cfRule type="cellIs" dxfId="184" priority="137" stopIfTrue="1" operator="between">
      <formula>8</formula>
      <formula>8</formula>
    </cfRule>
    <cfRule type="cellIs" dxfId="183" priority="138" stopIfTrue="1" operator="between">
      <formula>7</formula>
      <formula>7</formula>
    </cfRule>
    <cfRule type="cellIs" dxfId="182" priority="139" stopIfTrue="1" operator="between">
      <formula>6</formula>
      <formula>6</formula>
    </cfRule>
    <cfRule type="cellIs" dxfId="74" priority="140" stopIfTrue="1" operator="between">
      <formula>5</formula>
      <formula>5</formula>
    </cfRule>
    <cfRule type="cellIs" dxfId="73" priority="141" stopIfTrue="1" operator="between">
      <formula>4</formula>
      <formula>4</formula>
    </cfRule>
    <cfRule type="cellIs" dxfId="72" priority="142" stopIfTrue="1" operator="between">
      <formula>3</formula>
      <formula>3</formula>
    </cfRule>
    <cfRule type="cellIs" dxfId="71" priority="143" stopIfTrue="1" operator="between">
      <formula>2</formula>
      <formula>2</formula>
    </cfRule>
    <cfRule type="cellIs" dxfId="70" priority="144" stopIfTrue="1" operator="between">
      <formula>1</formula>
      <formula>1</formula>
    </cfRule>
  </conditionalFormatting>
  <conditionalFormatting sqref="L108:L117">
    <cfRule type="cellIs" dxfId="181" priority="129" stopIfTrue="1" operator="between">
      <formula>8</formula>
      <formula>8</formula>
    </cfRule>
    <cfRule type="cellIs" dxfId="180" priority="130" stopIfTrue="1" operator="between">
      <formula>7</formula>
      <formula>7</formula>
    </cfRule>
    <cfRule type="cellIs" dxfId="179" priority="131" stopIfTrue="1" operator="between">
      <formula>6</formula>
      <formula>6</formula>
    </cfRule>
    <cfRule type="cellIs" dxfId="69" priority="132" stopIfTrue="1" operator="between">
      <formula>5</formula>
      <formula>5</formula>
    </cfRule>
    <cfRule type="cellIs" dxfId="68" priority="133" stopIfTrue="1" operator="between">
      <formula>4</formula>
      <formula>4</formula>
    </cfRule>
    <cfRule type="cellIs" dxfId="67" priority="134" stopIfTrue="1" operator="between">
      <formula>3</formula>
      <formula>3</formula>
    </cfRule>
    <cfRule type="cellIs" dxfId="66" priority="135" stopIfTrue="1" operator="between">
      <formula>2</formula>
      <formula>2</formula>
    </cfRule>
    <cfRule type="cellIs" dxfId="65" priority="136" stopIfTrue="1" operator="between">
      <formula>1</formula>
      <formula>1</formula>
    </cfRule>
  </conditionalFormatting>
  <conditionalFormatting sqref="H142:H152">
    <cfRule type="cellIs" dxfId="178" priority="121" stopIfTrue="1" operator="between">
      <formula>8</formula>
      <formula>8</formula>
    </cfRule>
    <cfRule type="cellIs" dxfId="177" priority="122" stopIfTrue="1" operator="between">
      <formula>7</formula>
      <formula>7</formula>
    </cfRule>
    <cfRule type="cellIs" dxfId="176" priority="123" stopIfTrue="1" operator="between">
      <formula>6</formula>
      <formula>6</formula>
    </cfRule>
    <cfRule type="cellIs" dxfId="64" priority="124" stopIfTrue="1" operator="between">
      <formula>5</formula>
      <formula>5</formula>
    </cfRule>
    <cfRule type="cellIs" dxfId="63" priority="125" stopIfTrue="1" operator="between">
      <formula>4</formula>
      <formula>4</formula>
    </cfRule>
    <cfRule type="cellIs" dxfId="62" priority="126" stopIfTrue="1" operator="between">
      <formula>3</formula>
      <formula>3</formula>
    </cfRule>
    <cfRule type="cellIs" dxfId="61" priority="127" stopIfTrue="1" operator="between">
      <formula>2</formula>
      <formula>2</formula>
    </cfRule>
    <cfRule type="cellIs" dxfId="60" priority="128" stopIfTrue="1" operator="between">
      <formula>1</formula>
      <formula>1</formula>
    </cfRule>
  </conditionalFormatting>
  <conditionalFormatting sqref="J142:J152">
    <cfRule type="cellIs" dxfId="175" priority="113" stopIfTrue="1" operator="between">
      <formula>8</formula>
      <formula>8</formula>
    </cfRule>
    <cfRule type="cellIs" dxfId="174" priority="114" stopIfTrue="1" operator="between">
      <formula>7</formula>
      <formula>7</formula>
    </cfRule>
    <cfRule type="cellIs" dxfId="173" priority="115" stopIfTrue="1" operator="between">
      <formula>6</formula>
      <formula>6</formula>
    </cfRule>
    <cfRule type="cellIs" dxfId="59" priority="116" stopIfTrue="1" operator="between">
      <formula>5</formula>
      <formula>5</formula>
    </cfRule>
    <cfRule type="cellIs" dxfId="58" priority="117" stopIfTrue="1" operator="between">
      <formula>4</formula>
      <formula>4</formula>
    </cfRule>
    <cfRule type="cellIs" dxfId="57" priority="118" stopIfTrue="1" operator="between">
      <formula>3</formula>
      <formula>3</formula>
    </cfRule>
    <cfRule type="cellIs" dxfId="56" priority="119" stopIfTrue="1" operator="between">
      <formula>2</formula>
      <formula>2</formula>
    </cfRule>
    <cfRule type="cellIs" dxfId="55" priority="120" stopIfTrue="1" operator="between">
      <formula>1</formula>
      <formula>1</formula>
    </cfRule>
  </conditionalFormatting>
  <conditionalFormatting sqref="L142:L151">
    <cfRule type="cellIs" dxfId="172" priority="105" stopIfTrue="1" operator="between">
      <formula>8</formula>
      <formula>8</formula>
    </cfRule>
    <cfRule type="cellIs" dxfId="171" priority="106" stopIfTrue="1" operator="between">
      <formula>7</formula>
      <formula>7</formula>
    </cfRule>
    <cfRule type="cellIs" dxfId="170" priority="107" stopIfTrue="1" operator="between">
      <formula>6</formula>
      <formula>6</formula>
    </cfRule>
    <cfRule type="cellIs" dxfId="54" priority="108" stopIfTrue="1" operator="between">
      <formula>5</formula>
      <formula>5</formula>
    </cfRule>
    <cfRule type="cellIs" dxfId="53" priority="109" stopIfTrue="1" operator="between">
      <formula>4</formula>
      <formula>4</formula>
    </cfRule>
    <cfRule type="cellIs" dxfId="52" priority="110" stopIfTrue="1" operator="between">
      <formula>3</formula>
      <formula>3</formula>
    </cfRule>
    <cfRule type="cellIs" dxfId="51" priority="111" stopIfTrue="1" operator="between">
      <formula>2</formula>
      <formula>2</formula>
    </cfRule>
    <cfRule type="cellIs" dxfId="50" priority="112" stopIfTrue="1" operator="between">
      <formula>1</formula>
      <formula>1</formula>
    </cfRule>
  </conditionalFormatting>
  <conditionalFormatting sqref="H176:H185">
    <cfRule type="cellIs" dxfId="169" priority="97" stopIfTrue="1" operator="between">
      <formula>8</formula>
      <formula>8</formula>
    </cfRule>
    <cfRule type="cellIs" dxfId="168" priority="98" stopIfTrue="1" operator="between">
      <formula>7</formula>
      <formula>7</formula>
    </cfRule>
    <cfRule type="cellIs" dxfId="167" priority="99" stopIfTrue="1" operator="between">
      <formula>6</formula>
      <formula>6</formula>
    </cfRule>
    <cfRule type="cellIs" dxfId="49" priority="100" stopIfTrue="1" operator="between">
      <formula>5</formula>
      <formula>5</formula>
    </cfRule>
    <cfRule type="cellIs" dxfId="48" priority="101" stopIfTrue="1" operator="between">
      <formula>4</formula>
      <formula>4</formula>
    </cfRule>
    <cfRule type="cellIs" dxfId="47" priority="102" stopIfTrue="1" operator="between">
      <formula>3</formula>
      <formula>3</formula>
    </cfRule>
    <cfRule type="cellIs" dxfId="46" priority="103" stopIfTrue="1" operator="between">
      <formula>2</formula>
      <formula>2</formula>
    </cfRule>
    <cfRule type="cellIs" dxfId="45" priority="104" stopIfTrue="1" operator="between">
      <formula>1</formula>
      <formula>1</formula>
    </cfRule>
  </conditionalFormatting>
  <conditionalFormatting sqref="J176:J185">
    <cfRule type="cellIs" dxfId="166" priority="89" stopIfTrue="1" operator="between">
      <formula>8</formula>
      <formula>8</formula>
    </cfRule>
    <cfRule type="cellIs" dxfId="165" priority="90" stopIfTrue="1" operator="between">
      <formula>7</formula>
      <formula>7</formula>
    </cfRule>
    <cfRule type="cellIs" dxfId="164" priority="91" stopIfTrue="1" operator="between">
      <formula>6</formula>
      <formula>6</formula>
    </cfRule>
    <cfRule type="cellIs" dxfId="44" priority="92" stopIfTrue="1" operator="between">
      <formula>5</formula>
      <formula>5</formula>
    </cfRule>
    <cfRule type="cellIs" dxfId="43" priority="93" stopIfTrue="1" operator="between">
      <formula>4</formula>
      <formula>4</formula>
    </cfRule>
    <cfRule type="cellIs" dxfId="42" priority="94" stopIfTrue="1" operator="between">
      <formula>3</formula>
      <formula>3</formula>
    </cfRule>
    <cfRule type="cellIs" dxfId="41" priority="95" stopIfTrue="1" operator="between">
      <formula>2</formula>
      <formula>2</formula>
    </cfRule>
    <cfRule type="cellIs" dxfId="40" priority="96" stopIfTrue="1" operator="between">
      <formula>1</formula>
      <formula>1</formula>
    </cfRule>
  </conditionalFormatting>
  <conditionalFormatting sqref="L176:L185">
    <cfRule type="cellIs" dxfId="163" priority="81" stopIfTrue="1" operator="between">
      <formula>8</formula>
      <formula>8</formula>
    </cfRule>
    <cfRule type="cellIs" dxfId="162" priority="82" stopIfTrue="1" operator="between">
      <formula>7</formula>
      <formula>7</formula>
    </cfRule>
    <cfRule type="cellIs" dxfId="161" priority="83" stopIfTrue="1" operator="between">
      <formula>6</formula>
      <formula>6</formula>
    </cfRule>
    <cfRule type="cellIs" dxfId="39" priority="84" stopIfTrue="1" operator="between">
      <formula>5</formula>
      <formula>5</formula>
    </cfRule>
    <cfRule type="cellIs" dxfId="38" priority="85" stopIfTrue="1" operator="between">
      <formula>4</formula>
      <formula>4</formula>
    </cfRule>
    <cfRule type="cellIs" dxfId="37" priority="86" stopIfTrue="1" operator="between">
      <formula>3</formula>
      <formula>3</formula>
    </cfRule>
    <cfRule type="cellIs" dxfId="36" priority="87" stopIfTrue="1" operator="between">
      <formula>2</formula>
      <formula>2</formula>
    </cfRule>
    <cfRule type="cellIs" dxfId="35" priority="88" stopIfTrue="1" operator="between">
      <formula>1</formula>
      <formula>1</formula>
    </cfRule>
  </conditionalFormatting>
  <conditionalFormatting sqref="L210:L221">
    <cfRule type="cellIs" dxfId="160" priority="73" stopIfTrue="1" operator="between">
      <formula>8</formula>
      <formula>8</formula>
    </cfRule>
    <cfRule type="cellIs" dxfId="159" priority="74" stopIfTrue="1" operator="between">
      <formula>7</formula>
      <formula>7</formula>
    </cfRule>
    <cfRule type="cellIs" dxfId="158" priority="75" stopIfTrue="1" operator="between">
      <formula>6</formula>
      <formula>6</formula>
    </cfRule>
    <cfRule type="cellIs" dxfId="34" priority="76" stopIfTrue="1" operator="between">
      <formula>5</formula>
      <formula>5</formula>
    </cfRule>
    <cfRule type="cellIs" dxfId="33" priority="77" stopIfTrue="1" operator="between">
      <formula>4</formula>
      <formula>4</formula>
    </cfRule>
    <cfRule type="cellIs" dxfId="32" priority="78" stopIfTrue="1" operator="between">
      <formula>3</formula>
      <formula>3</formula>
    </cfRule>
    <cfRule type="cellIs" dxfId="31" priority="79" stopIfTrue="1" operator="between">
      <formula>2</formula>
      <formula>2</formula>
    </cfRule>
    <cfRule type="cellIs" dxfId="30" priority="80" stopIfTrue="1" operator="between">
      <formula>1</formula>
      <formula>1</formula>
    </cfRule>
  </conditionalFormatting>
  <conditionalFormatting sqref="L152">
    <cfRule type="cellIs" dxfId="157" priority="41" stopIfTrue="1" operator="between">
      <formula>8</formula>
      <formula>8</formula>
    </cfRule>
    <cfRule type="cellIs" dxfId="156" priority="42" stopIfTrue="1" operator="between">
      <formula>7</formula>
      <formula>7</formula>
    </cfRule>
    <cfRule type="cellIs" dxfId="155" priority="43" stopIfTrue="1" operator="between">
      <formula>6</formula>
      <formula>6</formula>
    </cfRule>
    <cfRule type="cellIs" dxfId="29" priority="44" stopIfTrue="1" operator="between">
      <formula>5</formula>
      <formula>5</formula>
    </cfRule>
    <cfRule type="cellIs" dxfId="28" priority="45" stopIfTrue="1" operator="between">
      <formula>4</formula>
      <formula>4</formula>
    </cfRule>
    <cfRule type="cellIs" dxfId="27" priority="46" stopIfTrue="1" operator="between">
      <formula>3</formula>
      <formula>3</formula>
    </cfRule>
    <cfRule type="cellIs" dxfId="26" priority="47" stopIfTrue="1" operator="between">
      <formula>2</formula>
      <formula>2</formula>
    </cfRule>
    <cfRule type="cellIs" dxfId="25" priority="48" stopIfTrue="1" operator="between">
      <formula>1</formula>
      <formula>1</formula>
    </cfRule>
  </conditionalFormatting>
  <conditionalFormatting sqref="H84">
    <cfRule type="cellIs" dxfId="154" priority="33" stopIfTrue="1" operator="between">
      <formula>8</formula>
      <formula>8</formula>
    </cfRule>
    <cfRule type="cellIs" dxfId="153" priority="34" stopIfTrue="1" operator="between">
      <formula>7</formula>
      <formula>7</formula>
    </cfRule>
    <cfRule type="cellIs" dxfId="152" priority="35" stopIfTrue="1" operator="between">
      <formula>6</formula>
      <formula>6</formula>
    </cfRule>
    <cfRule type="cellIs" dxfId="24" priority="36" stopIfTrue="1" operator="between">
      <formula>5</formula>
      <formula>5</formula>
    </cfRule>
    <cfRule type="cellIs" dxfId="23" priority="37" stopIfTrue="1" operator="between">
      <formula>4</formula>
      <formula>4</formula>
    </cfRule>
    <cfRule type="cellIs" dxfId="22" priority="38" stopIfTrue="1" operator="between">
      <formula>3</formula>
      <formula>3</formula>
    </cfRule>
    <cfRule type="cellIs" dxfId="21" priority="39" stopIfTrue="1" operator="between">
      <formula>2</formula>
      <formula>2</formula>
    </cfRule>
    <cfRule type="cellIs" dxfId="20" priority="40" stopIfTrue="1" operator="between">
      <formula>1</formula>
      <formula>1</formula>
    </cfRule>
  </conditionalFormatting>
  <conditionalFormatting sqref="J84">
    <cfRule type="cellIs" dxfId="151" priority="25" stopIfTrue="1" operator="between">
      <formula>8</formula>
      <formula>8</formula>
    </cfRule>
    <cfRule type="cellIs" dxfId="150" priority="26" stopIfTrue="1" operator="between">
      <formula>7</formula>
      <formula>7</formula>
    </cfRule>
    <cfRule type="cellIs" dxfId="149" priority="27" stopIfTrue="1" operator="between">
      <formula>6</formula>
      <formula>6</formula>
    </cfRule>
    <cfRule type="cellIs" dxfId="19" priority="28" stopIfTrue="1" operator="between">
      <formula>5</formula>
      <formula>5</formula>
    </cfRule>
    <cfRule type="cellIs" dxfId="18" priority="29" stopIfTrue="1" operator="between">
      <formula>4</formula>
      <formula>4</formula>
    </cfRule>
    <cfRule type="cellIs" dxfId="17" priority="30" stopIfTrue="1" operator="between">
      <formula>3</formula>
      <formula>3</formula>
    </cfRule>
    <cfRule type="cellIs" dxfId="16" priority="31" stopIfTrue="1" operator="between">
      <formula>2</formula>
      <formula>2</formula>
    </cfRule>
    <cfRule type="cellIs" dxfId="15" priority="32" stopIfTrue="1" operator="between">
      <formula>1</formula>
      <formula>1</formula>
    </cfRule>
  </conditionalFormatting>
  <conditionalFormatting sqref="L84">
    <cfRule type="cellIs" dxfId="148" priority="17" stopIfTrue="1" operator="between">
      <formula>8</formula>
      <formula>8</formula>
    </cfRule>
    <cfRule type="cellIs" dxfId="147" priority="18" stopIfTrue="1" operator="between">
      <formula>7</formula>
      <formula>7</formula>
    </cfRule>
    <cfRule type="cellIs" dxfId="146" priority="19" stopIfTrue="1" operator="between">
      <formula>6</formula>
      <formula>6</formula>
    </cfRule>
    <cfRule type="cellIs" dxfId="14" priority="20" stopIfTrue="1" operator="between">
      <formula>5</formula>
      <formula>5</formula>
    </cfRule>
    <cfRule type="cellIs" dxfId="13" priority="21" stopIfTrue="1" operator="between">
      <formula>4</formula>
      <formula>4</formula>
    </cfRule>
    <cfRule type="cellIs" dxfId="12" priority="22" stopIfTrue="1" operator="between">
      <formula>3</formula>
      <formula>3</formula>
    </cfRule>
    <cfRule type="cellIs" dxfId="11" priority="23" stopIfTrue="1" operator="between">
      <formula>2</formula>
      <formula>2</formula>
    </cfRule>
    <cfRule type="cellIs" dxfId="10" priority="24" stopIfTrue="1" operator="between">
      <formula>1</formula>
      <formula>1</formula>
    </cfRule>
  </conditionalFormatting>
  <conditionalFormatting sqref="H221:J221">
    <cfRule type="cellIs" dxfId="145" priority="9" stopIfTrue="1" operator="between">
      <formula>8</formula>
      <formula>8</formula>
    </cfRule>
    <cfRule type="cellIs" dxfId="144" priority="10" stopIfTrue="1" operator="between">
      <formula>7</formula>
      <formula>7</formula>
    </cfRule>
    <cfRule type="cellIs" dxfId="143" priority="11" stopIfTrue="1" operator="between">
      <formula>6</formula>
      <formula>6</formula>
    </cfRule>
    <cfRule type="cellIs" dxfId="9" priority="12" stopIfTrue="1" operator="between">
      <formula>5</formula>
      <formula>5</formula>
    </cfRule>
    <cfRule type="cellIs" dxfId="8" priority="13" stopIfTrue="1" operator="between">
      <formula>4</formula>
      <formula>4</formula>
    </cfRule>
    <cfRule type="cellIs" dxfId="7" priority="14" stopIfTrue="1" operator="between">
      <formula>3</formula>
      <formula>3</formula>
    </cfRule>
    <cfRule type="cellIs" dxfId="6" priority="15" stopIfTrue="1" operator="between">
      <formula>2</formula>
      <formula>2</formula>
    </cfRule>
    <cfRule type="cellIs" dxfId="5" priority="16" stopIfTrue="1" operator="between">
      <formula>1</formula>
      <formula>1</formula>
    </cfRule>
  </conditionalFormatting>
  <conditionalFormatting sqref="L221">
    <cfRule type="cellIs" dxfId="142" priority="1" stopIfTrue="1" operator="between">
      <formula>8</formula>
      <formula>8</formula>
    </cfRule>
    <cfRule type="cellIs" dxfId="141" priority="2" stopIfTrue="1" operator="between">
      <formula>7</formula>
      <formula>7</formula>
    </cfRule>
    <cfRule type="cellIs" dxfId="140" priority="3" stopIfTrue="1" operator="between">
      <formula>6</formula>
      <formula>6</formula>
    </cfRule>
    <cfRule type="cellIs" dxfId="4" priority="4" stopIfTrue="1" operator="between">
      <formula>5</formula>
      <formula>5</formula>
    </cfRule>
    <cfRule type="cellIs" dxfId="3" priority="5" stopIfTrue="1" operator="between">
      <formula>4</formula>
      <formula>4</formula>
    </cfRule>
    <cfRule type="cellIs" dxfId="2" priority="6" stopIfTrue="1" operator="between">
      <formula>3</formula>
      <formula>3</formula>
    </cfRule>
    <cfRule type="cellIs" dxfId="1" priority="7" stopIfTrue="1" operator="between">
      <formula>2</formula>
      <formula>2</formula>
    </cfRule>
    <cfRule type="cellIs" dxfId="0" priority="8" stopIfTrue="1" operator="between">
      <formula>1</formula>
      <formula>1</formula>
    </cfRule>
  </conditionalFormatting>
  <pageMargins left="0.98425196850393704" right="0.39370078740157483" top="0.78740157480314965" bottom="0.39370078740157483" header="0.51181102362204722" footer="0.51181102362204722"/>
  <pageSetup paperSize="9" scale="66" fitToHeight="0" orientation="landscape" horizontalDpi="4294967294" r:id="rId1"/>
  <headerFooter alignWithMargins="0"/>
  <rowBreaks count="2" manualBreakCount="2">
    <brk id="70" min="2" max="73" man="1"/>
    <brk id="138" min="2" max="7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13" sqref="D13"/>
    </sheetView>
  </sheetViews>
  <sheetFormatPr baseColWidth="10" defaultRowHeight="14.25"/>
  <cols>
    <col min="1" max="1" width="4" style="77" customWidth="1"/>
    <col min="2" max="2" width="2.5703125" style="77" customWidth="1"/>
    <col min="3" max="3" width="12.42578125" style="77" customWidth="1"/>
    <col min="4" max="4" width="10.42578125" style="77" bestFit="1" customWidth="1"/>
    <col min="5" max="8" width="8.7109375" style="77" customWidth="1"/>
    <col min="9" max="10" width="9.28515625" style="77" bestFit="1" customWidth="1"/>
    <col min="11" max="11" width="16" style="77" customWidth="1"/>
    <col min="12" max="16384" width="11.42578125" style="77"/>
  </cols>
  <sheetData>
    <row r="1" spans="1:11" s="76" customFormat="1" ht="23.25">
      <c r="D1" s="428" t="s">
        <v>40</v>
      </c>
      <c r="E1" s="387"/>
      <c r="F1" s="387"/>
      <c r="G1" s="387"/>
      <c r="H1" s="387"/>
      <c r="I1" s="387"/>
      <c r="J1" s="387"/>
    </row>
    <row r="2" spans="1:11" s="76" customFormat="1" ht="23.25">
      <c r="D2" s="421">
        <f>Platzierung!U6</f>
        <v>0</v>
      </c>
      <c r="E2" s="421"/>
      <c r="F2" s="421"/>
      <c r="G2" s="421"/>
      <c r="H2" s="421"/>
      <c r="I2" s="421"/>
      <c r="J2" s="421"/>
    </row>
    <row r="3" spans="1:11" s="76" customFormat="1" ht="23.25">
      <c r="D3" s="421">
        <f>Platzierung!U4</f>
        <v>0</v>
      </c>
      <c r="E3" s="421"/>
      <c r="F3" s="421"/>
      <c r="G3" s="421"/>
      <c r="H3" s="421"/>
      <c r="I3" s="421"/>
      <c r="J3" s="421"/>
    </row>
    <row r="4" spans="1:11" s="76" customFormat="1" ht="23.25">
      <c r="A4" s="413" t="s">
        <v>41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</row>
    <row r="5" spans="1:11" ht="15" thickBot="1"/>
    <row r="6" spans="1:11" s="81" customFormat="1" ht="15">
      <c r="A6" s="78" t="s">
        <v>61</v>
      </c>
      <c r="B6" s="79"/>
      <c r="C6" s="79"/>
      <c r="D6" s="79"/>
      <c r="E6" s="79"/>
      <c r="F6" s="79"/>
      <c r="G6" s="79"/>
      <c r="H6" s="79"/>
      <c r="I6" s="79"/>
      <c r="J6" s="79"/>
      <c r="K6" s="80"/>
    </row>
    <row r="7" spans="1:11" ht="15.75" thickBot="1">
      <c r="A7" s="422" t="s">
        <v>42</v>
      </c>
      <c r="B7" s="423"/>
      <c r="C7" s="423"/>
      <c r="D7" s="423"/>
      <c r="E7" s="423"/>
      <c r="F7" s="423"/>
      <c r="G7" s="423"/>
      <c r="H7" s="423"/>
      <c r="I7" s="423"/>
      <c r="J7" s="423"/>
      <c r="K7" s="75"/>
    </row>
    <row r="8" spans="1:11" ht="15">
      <c r="A8" s="82"/>
      <c r="B8" s="83"/>
      <c r="C8" s="84"/>
      <c r="D8" s="85"/>
      <c r="E8" s="426" t="s">
        <v>43</v>
      </c>
      <c r="F8" s="429"/>
      <c r="G8" s="429"/>
      <c r="H8" s="430"/>
      <c r="I8" s="426" t="s">
        <v>44</v>
      </c>
      <c r="J8" s="427"/>
      <c r="K8" s="86"/>
    </row>
    <row r="9" spans="1:11" ht="23.25" customHeight="1">
      <c r="A9" s="87"/>
      <c r="B9" s="88"/>
      <c r="C9" s="89"/>
      <c r="D9" s="90" t="s">
        <v>45</v>
      </c>
      <c r="E9" s="404" t="s">
        <v>46</v>
      </c>
      <c r="F9" s="405"/>
      <c r="G9" s="405"/>
      <c r="H9" s="406"/>
      <c r="I9" s="121">
        <f>Platzierung!U7</f>
        <v>0</v>
      </c>
      <c r="J9" s="120" t="s">
        <v>68</v>
      </c>
      <c r="K9" s="91"/>
    </row>
    <row r="10" spans="1:11" ht="15" customHeight="1">
      <c r="A10" s="92"/>
      <c r="B10" s="93"/>
      <c r="C10" s="94"/>
      <c r="D10" s="95"/>
      <c r="E10" s="96"/>
      <c r="F10" s="97" t="s">
        <v>47</v>
      </c>
      <c r="G10" s="97"/>
      <c r="H10" s="95"/>
      <c r="I10" s="98"/>
      <c r="J10" s="95"/>
      <c r="K10" s="99"/>
    </row>
    <row r="11" spans="1:11" ht="15" customHeight="1">
      <c r="A11" s="92"/>
      <c r="B11" s="93"/>
      <c r="C11" s="94"/>
      <c r="D11" s="95" t="s">
        <v>48</v>
      </c>
      <c r="E11" s="96" t="s">
        <v>49</v>
      </c>
      <c r="F11" s="97" t="s">
        <v>49</v>
      </c>
      <c r="G11" s="97" t="s">
        <v>50</v>
      </c>
      <c r="H11" s="100" t="s">
        <v>51</v>
      </c>
      <c r="I11" s="96"/>
      <c r="J11" s="95" t="s">
        <v>47</v>
      </c>
      <c r="K11" s="99" t="s">
        <v>52</v>
      </c>
    </row>
    <row r="12" spans="1:11" ht="15" customHeight="1">
      <c r="A12" s="436" t="s">
        <v>53</v>
      </c>
      <c r="B12" s="437"/>
      <c r="C12" s="438"/>
      <c r="D12" s="101" t="s">
        <v>54</v>
      </c>
      <c r="E12" s="102" t="s">
        <v>55</v>
      </c>
      <c r="F12" s="103" t="s">
        <v>55</v>
      </c>
      <c r="G12" s="104" t="s">
        <v>55</v>
      </c>
      <c r="H12" s="105" t="s">
        <v>55</v>
      </c>
      <c r="I12" s="102" t="s">
        <v>56</v>
      </c>
      <c r="J12" s="101" t="s">
        <v>56</v>
      </c>
      <c r="K12" s="106"/>
    </row>
    <row r="13" spans="1:11" ht="22.5" customHeight="1">
      <c r="A13" s="410" t="str">
        <f>Platzierung!T21</f>
        <v>Team 1</v>
      </c>
      <c r="B13" s="411"/>
      <c r="C13" s="412"/>
      <c r="D13" s="133"/>
      <c r="E13" s="134"/>
      <c r="F13" s="135"/>
      <c r="G13" s="135"/>
      <c r="H13" s="136"/>
      <c r="I13" s="134"/>
      <c r="J13" s="136"/>
      <c r="K13" s="137"/>
    </row>
    <row r="14" spans="1:11" ht="22.5" customHeight="1">
      <c r="A14" s="418" t="str">
        <f>Platzierung!T22</f>
        <v>Team 2</v>
      </c>
      <c r="B14" s="419"/>
      <c r="C14" s="420"/>
      <c r="D14" s="133"/>
      <c r="E14" s="134"/>
      <c r="F14" s="135"/>
      <c r="G14" s="135"/>
      <c r="H14" s="136"/>
      <c r="I14" s="134"/>
      <c r="J14" s="136"/>
      <c r="K14" s="137"/>
    </row>
    <row r="15" spans="1:11" ht="22.5" customHeight="1">
      <c r="A15" s="410" t="str">
        <f>Platzierung!T23</f>
        <v>Team 3</v>
      </c>
      <c r="B15" s="411"/>
      <c r="C15" s="412"/>
      <c r="D15" s="133"/>
      <c r="E15" s="134"/>
      <c r="F15" s="135"/>
      <c r="G15" s="135"/>
      <c r="H15" s="136"/>
      <c r="I15" s="134"/>
      <c r="J15" s="136"/>
      <c r="K15" s="137"/>
    </row>
    <row r="16" spans="1:11" ht="22.5" customHeight="1">
      <c r="A16" s="418" t="str">
        <f>Platzierung!T24</f>
        <v>Team 4</v>
      </c>
      <c r="B16" s="419"/>
      <c r="C16" s="420"/>
      <c r="D16" s="133"/>
      <c r="E16" s="134"/>
      <c r="F16" s="135"/>
      <c r="G16" s="135"/>
      <c r="H16" s="136"/>
      <c r="I16" s="134"/>
      <c r="J16" s="136"/>
      <c r="K16" s="137"/>
    </row>
    <row r="17" spans="1:11" ht="22.5" customHeight="1">
      <c r="A17" s="410" t="str">
        <f>Platzierung!T25</f>
        <v>Team 5</v>
      </c>
      <c r="B17" s="411"/>
      <c r="C17" s="412"/>
      <c r="D17" s="133"/>
      <c r="E17" s="134"/>
      <c r="F17" s="135"/>
      <c r="G17" s="135"/>
      <c r="H17" s="136"/>
      <c r="I17" s="134"/>
      <c r="J17" s="136"/>
      <c r="K17" s="137"/>
    </row>
    <row r="18" spans="1:11" ht="22.5" customHeight="1">
      <c r="A18" s="418" t="str">
        <f>Platzierung!T26</f>
        <v>Team 6</v>
      </c>
      <c r="B18" s="419"/>
      <c r="C18" s="420"/>
      <c r="D18" s="133"/>
      <c r="E18" s="134"/>
      <c r="F18" s="135"/>
      <c r="G18" s="135"/>
      <c r="H18" s="136"/>
      <c r="I18" s="134"/>
      <c r="J18" s="136"/>
      <c r="K18" s="137"/>
    </row>
    <row r="19" spans="1:11" ht="22.5" customHeight="1">
      <c r="A19" s="410" t="str">
        <f>Platzierung!T27</f>
        <v>Team 7</v>
      </c>
      <c r="B19" s="411"/>
      <c r="C19" s="412"/>
      <c r="D19" s="133"/>
      <c r="E19" s="134"/>
      <c r="F19" s="135"/>
      <c r="G19" s="135"/>
      <c r="H19" s="136"/>
      <c r="I19" s="134"/>
      <c r="J19" s="136"/>
      <c r="K19" s="137"/>
    </row>
    <row r="20" spans="1:11" ht="22.5" customHeight="1">
      <c r="A20" s="418" t="str">
        <f>Platzierung!T28</f>
        <v>Team 8</v>
      </c>
      <c r="B20" s="419"/>
      <c r="C20" s="420"/>
      <c r="D20" s="133"/>
      <c r="E20" s="134"/>
      <c r="F20" s="135"/>
      <c r="G20" s="135"/>
      <c r="H20" s="136"/>
      <c r="I20" s="134"/>
      <c r="J20" s="136"/>
      <c r="K20" s="137"/>
    </row>
    <row r="21" spans="1:11" ht="22.5" customHeight="1" thickBot="1">
      <c r="A21" s="418" t="str">
        <f>Platzierung!T29</f>
        <v>Team 9</v>
      </c>
      <c r="B21" s="419"/>
      <c r="C21" s="420"/>
      <c r="D21" s="138"/>
      <c r="E21" s="139"/>
      <c r="F21" s="140"/>
      <c r="G21" s="140"/>
      <c r="H21" s="141"/>
      <c r="I21" s="139"/>
      <c r="J21" s="141"/>
      <c r="K21" s="142"/>
    </row>
    <row r="22" spans="1:11" ht="15">
      <c r="A22" s="415"/>
      <c r="B22" s="416"/>
      <c r="C22" s="416"/>
      <c r="D22" s="416"/>
      <c r="E22" s="416"/>
      <c r="F22" s="416"/>
      <c r="G22" s="416"/>
      <c r="H22" s="416"/>
      <c r="I22" s="416"/>
      <c r="J22" s="416"/>
      <c r="K22" s="417"/>
    </row>
    <row r="23" spans="1:11" s="107" customFormat="1" ht="15">
      <c r="A23" s="407" t="s">
        <v>63</v>
      </c>
      <c r="B23" s="408"/>
      <c r="C23" s="408"/>
      <c r="D23" s="408"/>
      <c r="E23" s="74"/>
      <c r="F23" s="74"/>
      <c r="G23" s="74"/>
      <c r="H23" s="74"/>
      <c r="I23" s="74"/>
      <c r="J23" s="74"/>
      <c r="K23" s="75"/>
    </row>
    <row r="24" spans="1:11" s="107" customFormat="1" ht="15">
      <c r="A24" s="73"/>
      <c r="B24" s="108" t="s">
        <v>57</v>
      </c>
      <c r="C24" s="408" t="s">
        <v>69</v>
      </c>
      <c r="D24" s="408"/>
      <c r="E24" s="408"/>
      <c r="F24" s="408"/>
      <c r="G24" s="408"/>
      <c r="H24" s="434"/>
      <c r="I24" s="434"/>
      <c r="J24" s="434"/>
      <c r="K24" s="435"/>
    </row>
    <row r="25" spans="1:11" s="107" customFormat="1" ht="15">
      <c r="A25" s="73"/>
      <c r="B25" s="108" t="s">
        <v>57</v>
      </c>
      <c r="C25" s="408" t="s">
        <v>70</v>
      </c>
      <c r="D25" s="408"/>
      <c r="E25" s="408"/>
      <c r="F25" s="408"/>
      <c r="G25" s="408"/>
      <c r="H25" s="408"/>
      <c r="I25" s="408"/>
      <c r="J25" s="408"/>
      <c r="K25" s="409"/>
    </row>
    <row r="26" spans="1:11" s="107" customFormat="1" ht="15">
      <c r="A26" s="73"/>
      <c r="B26" s="108" t="s">
        <v>57</v>
      </c>
      <c r="C26" s="408" t="s">
        <v>58</v>
      </c>
      <c r="D26" s="408"/>
      <c r="E26" s="408"/>
      <c r="F26" s="408"/>
      <c r="G26" s="408"/>
      <c r="H26" s="408"/>
      <c r="I26" s="408"/>
      <c r="J26" s="408"/>
      <c r="K26" s="409"/>
    </row>
    <row r="27" spans="1:11" s="107" customFormat="1" ht="15">
      <c r="A27" s="407" t="s">
        <v>64</v>
      </c>
      <c r="B27" s="408"/>
      <c r="C27" s="408"/>
      <c r="D27" s="408"/>
      <c r="E27" s="74"/>
      <c r="F27" s="74"/>
      <c r="G27" s="74"/>
      <c r="H27" s="74"/>
      <c r="I27" s="74"/>
      <c r="J27" s="74"/>
      <c r="K27" s="75"/>
    </row>
    <row r="28" spans="1:11" s="112" customFormat="1" ht="15">
      <c r="A28" s="109" t="s">
        <v>66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1"/>
    </row>
    <row r="29" spans="1:11" s="112" customFormat="1" ht="15">
      <c r="A29" s="109" t="s">
        <v>65</v>
      </c>
      <c r="B29" s="110"/>
      <c r="C29" s="110"/>
      <c r="D29" s="113"/>
      <c r="E29" s="113"/>
      <c r="F29" s="113"/>
      <c r="G29" s="113"/>
      <c r="H29" s="113"/>
      <c r="I29" s="113"/>
      <c r="J29" s="113"/>
      <c r="K29" s="114"/>
    </row>
    <row r="30" spans="1:11" s="107" customFormat="1" ht="15">
      <c r="A30" s="431" t="s">
        <v>59</v>
      </c>
      <c r="B30" s="432"/>
      <c r="C30" s="432"/>
      <c r="D30" s="432"/>
      <c r="E30" s="432"/>
      <c r="F30" s="432"/>
      <c r="G30" s="432"/>
      <c r="H30" s="432"/>
      <c r="I30" s="432"/>
      <c r="J30" s="432"/>
      <c r="K30" s="433"/>
    </row>
    <row r="31" spans="1:11" s="107" customFormat="1" ht="15">
      <c r="A31" s="407" t="s">
        <v>62</v>
      </c>
      <c r="B31" s="408"/>
      <c r="C31" s="408"/>
      <c r="D31" s="408"/>
      <c r="E31" s="116"/>
      <c r="F31" s="116"/>
      <c r="G31" s="116"/>
      <c r="H31" s="116"/>
      <c r="I31" s="116"/>
      <c r="J31" s="116"/>
      <c r="K31" s="117"/>
    </row>
    <row r="32" spans="1:11" s="107" customFormat="1" ht="19.5" customHeight="1">
      <c r="A32" s="115"/>
      <c r="B32" s="424" t="s">
        <v>60</v>
      </c>
      <c r="C32" s="425"/>
      <c r="D32" s="425"/>
      <c r="E32" s="425"/>
      <c r="F32" s="425"/>
      <c r="G32" s="425"/>
      <c r="H32" s="425"/>
      <c r="I32" s="425"/>
      <c r="J32" s="425"/>
      <c r="K32" s="117"/>
    </row>
    <row r="33" spans="1:11" s="107" customFormat="1" ht="19.5" customHeight="1">
      <c r="A33" s="115"/>
      <c r="B33" s="424" t="s">
        <v>60</v>
      </c>
      <c r="C33" s="425"/>
      <c r="D33" s="425"/>
      <c r="E33" s="425"/>
      <c r="F33" s="425"/>
      <c r="G33" s="425"/>
      <c r="H33" s="425"/>
      <c r="I33" s="425"/>
      <c r="J33" s="425"/>
      <c r="K33" s="117"/>
    </row>
    <row r="34" spans="1:11" s="107" customFormat="1" ht="19.5" customHeight="1">
      <c r="A34" s="115"/>
      <c r="B34" s="424" t="s">
        <v>60</v>
      </c>
      <c r="C34" s="425"/>
      <c r="D34" s="425"/>
      <c r="E34" s="425"/>
      <c r="F34" s="425"/>
      <c r="G34" s="425"/>
      <c r="H34" s="425"/>
      <c r="I34" s="425"/>
      <c r="J34" s="425"/>
      <c r="K34" s="117"/>
    </row>
    <row r="35" spans="1:11" s="107" customFormat="1" ht="19.5" customHeight="1">
      <c r="A35" s="115"/>
      <c r="B35" s="424" t="s">
        <v>60</v>
      </c>
      <c r="C35" s="425"/>
      <c r="D35" s="425"/>
      <c r="E35" s="425"/>
      <c r="F35" s="425"/>
      <c r="G35" s="425"/>
      <c r="H35" s="425"/>
      <c r="I35" s="425"/>
      <c r="J35" s="425"/>
      <c r="K35" s="117"/>
    </row>
    <row r="36" spans="1:11" ht="15.75" thickBot="1">
      <c r="A36" s="402"/>
      <c r="B36" s="403"/>
      <c r="C36" s="403"/>
      <c r="D36" s="118"/>
      <c r="E36" s="118"/>
      <c r="F36" s="118"/>
      <c r="G36" s="118"/>
      <c r="H36" s="118"/>
      <c r="I36" s="118"/>
      <c r="J36" s="118"/>
      <c r="K36" s="119"/>
    </row>
  </sheetData>
  <sheetProtection sheet="1" selectLockedCells="1"/>
  <mergeCells count="31">
    <mergeCell ref="D1:J1"/>
    <mergeCell ref="E8:H8"/>
    <mergeCell ref="A30:K30"/>
    <mergeCell ref="C24:K24"/>
    <mergeCell ref="A12:C12"/>
    <mergeCell ref="A21:C21"/>
    <mergeCell ref="A18:C18"/>
    <mergeCell ref="B32:J32"/>
    <mergeCell ref="A15:C15"/>
    <mergeCell ref="A19:C19"/>
    <mergeCell ref="D3:J3"/>
    <mergeCell ref="A4:K4"/>
    <mergeCell ref="A22:K22"/>
    <mergeCell ref="A20:C20"/>
    <mergeCell ref="A31:D31"/>
    <mergeCell ref="D2:J2"/>
    <mergeCell ref="A17:C17"/>
    <mergeCell ref="C26:K26"/>
    <mergeCell ref="A7:J7"/>
    <mergeCell ref="I8:J8"/>
    <mergeCell ref="A14:C14"/>
    <mergeCell ref="A36:C36"/>
    <mergeCell ref="E9:H9"/>
    <mergeCell ref="A27:D27"/>
    <mergeCell ref="A23:D23"/>
    <mergeCell ref="C25:K25"/>
    <mergeCell ref="A13:C13"/>
    <mergeCell ref="B35:J35"/>
    <mergeCell ref="B33:J33"/>
    <mergeCell ref="B34:J34"/>
    <mergeCell ref="A16:C16"/>
  </mergeCells>
  <phoneticPr fontId="0" type="noConversion"/>
  <pageMargins left="0.39370078740157483" right="0" top="0.39370078740157483" bottom="0.59055118110236227" header="0.51181102362204722" footer="0.51181102362204722"/>
  <pageSetup paperSize="9" scale="96" orientation="portrait" horizontalDpi="4294967294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S180"/>
  <sheetViews>
    <sheetView workbookViewId="0">
      <selection activeCell="AL6" sqref="AL6"/>
    </sheetView>
  </sheetViews>
  <sheetFormatPr baseColWidth="10" defaultColWidth="3.42578125" defaultRowHeight="12.75"/>
  <cols>
    <col min="1" max="3" width="3.140625" style="341" customWidth="1"/>
    <col min="4" max="4" width="4" style="339" hidden="1" customWidth="1"/>
    <col min="5" max="20" width="3" style="341" customWidth="1"/>
    <col min="21" max="21" width="3.28515625" style="339" hidden="1" customWidth="1"/>
    <col min="22" max="34" width="3" style="341" customWidth="1"/>
    <col min="35" max="36" width="3.42578125" style="292"/>
    <col min="37" max="37" width="3.140625" style="292" customWidth="1"/>
    <col min="38" max="38" width="4" style="292" bestFit="1" customWidth="1"/>
    <col min="39" max="42" width="3.42578125" style="293" hidden="1" customWidth="1"/>
    <col min="43" max="44" width="0" style="293" hidden="1" customWidth="1"/>
    <col min="45" max="45" width="3.42578125" style="293"/>
    <col min="46" max="57" width="3.42578125" style="292"/>
    <col min="58" max="58" width="8.7109375" style="292" bestFit="1" customWidth="1"/>
    <col min="59" max="16384" width="3.42578125" style="292"/>
  </cols>
  <sheetData>
    <row r="1" spans="1:45" s="152" customFormat="1" ht="33.950000000000003" customHeight="1" thickTop="1">
      <c r="A1" s="520" t="s">
        <v>84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2"/>
      <c r="AD1" s="150"/>
      <c r="AE1" s="150"/>
      <c r="AF1" s="150"/>
      <c r="AG1" s="150"/>
      <c r="AH1" s="151"/>
      <c r="AM1" s="153"/>
      <c r="AN1" s="153"/>
      <c r="AO1" s="153"/>
      <c r="AP1" s="153"/>
      <c r="AQ1" s="153"/>
      <c r="AR1" s="153"/>
      <c r="AS1" s="153"/>
    </row>
    <row r="2" spans="1:45" s="152" customFormat="1" ht="17.25" customHeight="1" thickBot="1">
      <c r="A2" s="523" t="s">
        <v>85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5"/>
      <c r="AD2" s="154"/>
      <c r="AE2" s="154"/>
      <c r="AF2" s="154"/>
      <c r="AG2" s="154"/>
      <c r="AH2" s="155"/>
      <c r="AM2" s="153"/>
      <c r="AN2" s="153"/>
      <c r="AO2" s="153"/>
      <c r="AP2" s="153"/>
      <c r="AQ2" s="153"/>
      <c r="AR2" s="153"/>
      <c r="AS2" s="153"/>
    </row>
    <row r="3" spans="1:45" s="161" customFormat="1" ht="29.25" customHeight="1" thickTop="1" thickBot="1">
      <c r="A3" s="156" t="s">
        <v>86</v>
      </c>
      <c r="B3" s="157"/>
      <c r="C3" s="157"/>
      <c r="D3" s="157"/>
      <c r="E3" s="157"/>
      <c r="F3" s="158"/>
      <c r="G3" s="526">
        <f>Platzierung!U6</f>
        <v>0</v>
      </c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8"/>
      <c r="AD3" s="159"/>
      <c r="AE3" s="159"/>
      <c r="AF3" s="159"/>
      <c r="AG3" s="159"/>
      <c r="AH3" s="160"/>
      <c r="AM3" s="508" t="s">
        <v>87</v>
      </c>
      <c r="AN3" s="508" t="s">
        <v>87</v>
      </c>
      <c r="AO3" s="508" t="s">
        <v>87</v>
      </c>
      <c r="AP3" s="508" t="s">
        <v>87</v>
      </c>
      <c r="AQ3" s="162"/>
      <c r="AR3" s="162"/>
      <c r="AS3" s="162"/>
    </row>
    <row r="4" spans="1:45" s="161" customFormat="1" ht="22.5" customHeight="1" thickTop="1" thickBot="1">
      <c r="A4" s="163" t="s">
        <v>88</v>
      </c>
      <c r="B4" s="164"/>
      <c r="C4" s="164"/>
      <c r="D4" s="164"/>
      <c r="E4" s="164"/>
      <c r="F4" s="165"/>
      <c r="G4" s="510">
        <f>Platzierung!U4</f>
        <v>0</v>
      </c>
      <c r="H4" s="511"/>
      <c r="I4" s="511"/>
      <c r="J4" s="511"/>
      <c r="K4" s="511"/>
      <c r="L4" s="511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3"/>
      <c r="AD4" s="159"/>
      <c r="AE4" s="159"/>
      <c r="AF4" s="159"/>
      <c r="AG4" s="159"/>
      <c r="AH4" s="160"/>
      <c r="AM4" s="509"/>
      <c r="AN4" s="509"/>
      <c r="AO4" s="509"/>
      <c r="AP4" s="509"/>
      <c r="AQ4" s="162"/>
      <c r="AR4" s="162"/>
      <c r="AS4" s="162"/>
    </row>
    <row r="5" spans="1:45" s="152" customFormat="1" ht="18" customHeight="1" thickTop="1" thickBot="1">
      <c r="A5" s="166" t="s">
        <v>89</v>
      </c>
      <c r="B5" s="167"/>
      <c r="C5" s="167"/>
      <c r="D5" s="168"/>
      <c r="E5" s="169"/>
      <c r="F5" s="514" t="str">
        <f>IF(VLOOKUP(AL6,Plan,AM5,FALSE)="","",(VLOOKUP(AL6,Plan,AM5,FALSE)))</f>
        <v/>
      </c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170" t="s">
        <v>90</v>
      </c>
      <c r="S5" s="170"/>
      <c r="T5" s="170"/>
      <c r="U5" s="171"/>
      <c r="V5" s="170"/>
      <c r="W5" s="515" t="str">
        <f>IF(VLOOKUP(AL5,Plan,AO5,FALSE)="","",(VLOOKUP(AL5,Plan,AO5,FALSE)))</f>
        <v>Ort</v>
      </c>
      <c r="X5" s="516"/>
      <c r="Y5" s="516"/>
      <c r="Z5" s="516"/>
      <c r="AA5" s="516"/>
      <c r="AB5" s="516"/>
      <c r="AC5" s="517"/>
      <c r="AD5" s="172"/>
      <c r="AE5" s="172"/>
      <c r="AF5" s="172"/>
      <c r="AG5" s="172"/>
      <c r="AH5" s="173"/>
      <c r="AL5" s="174">
        <v>1</v>
      </c>
      <c r="AM5" s="175">
        <v>35</v>
      </c>
      <c r="AN5" s="176">
        <v>28</v>
      </c>
      <c r="AO5" s="176">
        <v>36</v>
      </c>
      <c r="AP5" s="176"/>
      <c r="AQ5" s="177" t="s">
        <v>91</v>
      </c>
      <c r="AR5" s="153"/>
      <c r="AS5" s="153"/>
    </row>
    <row r="6" spans="1:45" s="152" customFormat="1" ht="18" customHeight="1" thickTop="1">
      <c r="A6" s="178" t="s">
        <v>5</v>
      </c>
      <c r="B6" s="179"/>
      <c r="C6" s="179"/>
      <c r="D6" s="180"/>
      <c r="E6" s="181"/>
      <c r="F6" s="500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182" t="s">
        <v>92</v>
      </c>
      <c r="S6" s="182"/>
      <c r="T6" s="182"/>
      <c r="U6" s="183"/>
      <c r="V6" s="182"/>
      <c r="W6" s="518" t="str">
        <f>IF(VLOOKUP(AL6,Plan,AN6,FALSE)="","",(VLOOKUP(AL6,Plan,AN6,FALSE)))</f>
        <v>00.00.2018</v>
      </c>
      <c r="X6" s="519"/>
      <c r="Y6" s="519"/>
      <c r="Z6" s="519"/>
      <c r="AA6" s="519"/>
      <c r="AB6" s="184"/>
      <c r="AC6" s="184"/>
      <c r="AD6" s="185"/>
      <c r="AE6" s="185"/>
      <c r="AF6" s="186"/>
      <c r="AG6" s="186"/>
      <c r="AH6" s="187"/>
      <c r="AL6" s="188">
        <f t="shared" ref="AL6:AL11" si="0">AL5</f>
        <v>1</v>
      </c>
      <c r="AM6" s="189">
        <v>13</v>
      </c>
      <c r="AN6" s="189">
        <v>2</v>
      </c>
      <c r="AO6" s="176"/>
      <c r="AP6" s="176"/>
      <c r="AQ6" s="153"/>
      <c r="AR6" s="153"/>
      <c r="AS6" s="153"/>
    </row>
    <row r="7" spans="1:45" s="152" customFormat="1" ht="18" customHeight="1">
      <c r="A7" s="178" t="s">
        <v>93</v>
      </c>
      <c r="B7" s="179"/>
      <c r="C7" s="179"/>
      <c r="D7" s="180"/>
      <c r="E7" s="181"/>
      <c r="F7" s="500" t="str">
        <f>IF(VLOOKUP(AL6,Plan,AM6,FALSE)="","",(VLOOKUP(AL6,Plan,AM6,FALSE)))</f>
        <v>Team 3</v>
      </c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190" t="s">
        <v>94</v>
      </c>
      <c r="S7" s="190"/>
      <c r="T7" s="190"/>
      <c r="U7" s="191"/>
      <c r="V7" s="192"/>
      <c r="W7" s="502">
        <f>IF(VLOOKUP(AL7,Plan,AN7,FALSE)="","",(VLOOKUP(AL7,Plan,AN7,FALSE)))</f>
        <v>0.39583333333333331</v>
      </c>
      <c r="X7" s="503"/>
      <c r="Y7" s="503"/>
      <c r="Z7" s="503"/>
      <c r="AA7" s="193" t="s">
        <v>95</v>
      </c>
      <c r="AB7" s="194"/>
      <c r="AC7" s="195"/>
      <c r="AD7" s="504"/>
      <c r="AE7" s="504"/>
      <c r="AF7" s="504"/>
      <c r="AG7" s="504"/>
      <c r="AH7" s="505"/>
      <c r="AL7" s="188">
        <f t="shared" si="0"/>
        <v>1</v>
      </c>
      <c r="AM7" s="189"/>
      <c r="AN7" s="189">
        <v>3</v>
      </c>
      <c r="AO7" s="176"/>
      <c r="AP7" s="176"/>
      <c r="AQ7" s="153"/>
      <c r="AR7" s="153"/>
      <c r="AS7" s="153"/>
    </row>
    <row r="8" spans="1:45" s="152" customFormat="1" ht="18" customHeight="1">
      <c r="A8" s="178" t="s">
        <v>96</v>
      </c>
      <c r="B8" s="179"/>
      <c r="C8" s="179"/>
      <c r="D8" s="180"/>
      <c r="E8" s="181"/>
      <c r="F8" s="500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190" t="s">
        <v>97</v>
      </c>
      <c r="S8" s="190"/>
      <c r="T8" s="190"/>
      <c r="U8" s="191"/>
      <c r="V8" s="192"/>
      <c r="W8" s="506">
        <f>IF(VLOOKUP(AL8,Plan,AN8,FALSE)="","",(VLOOKUP(AL8,Plan,AN8,FALSE)))</f>
        <v>1</v>
      </c>
      <c r="X8" s="507"/>
      <c r="Y8" s="196"/>
      <c r="Z8" s="196"/>
      <c r="AA8" s="196"/>
      <c r="AB8" s="197" t="s">
        <v>98</v>
      </c>
      <c r="AC8" s="194"/>
      <c r="AD8" s="507">
        <f>IF(VLOOKUP(AL8,Plan,AO8,FALSE)="","",(VLOOKUP(AL8,Plan,AO8,FALSE)))</f>
        <v>1</v>
      </c>
      <c r="AE8" s="507"/>
      <c r="AF8" s="196"/>
      <c r="AG8" s="196"/>
      <c r="AH8" s="198"/>
      <c r="AL8" s="188">
        <f t="shared" si="0"/>
        <v>1</v>
      </c>
      <c r="AM8" s="189"/>
      <c r="AN8" s="189">
        <v>4</v>
      </c>
      <c r="AO8" s="176">
        <v>5</v>
      </c>
      <c r="AP8" s="176"/>
      <c r="AQ8" s="153"/>
      <c r="AR8" s="153"/>
      <c r="AS8" s="153"/>
    </row>
    <row r="9" spans="1:45" s="152" customFormat="1" ht="18" customHeight="1" thickBot="1">
      <c r="A9" s="199" t="s">
        <v>99</v>
      </c>
      <c r="B9" s="200"/>
      <c r="C9" s="200"/>
      <c r="D9" s="201"/>
      <c r="E9" s="202"/>
      <c r="F9" s="489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1"/>
      <c r="R9" s="182" t="s">
        <v>100</v>
      </c>
      <c r="S9" s="203"/>
      <c r="T9" s="203"/>
      <c r="U9" s="204"/>
      <c r="V9" s="205"/>
      <c r="W9" s="492">
        <f>IF(VLOOKUP(AL9,Plan,AN9,FALSE)="","",(VLOOKUP(AL9,Plan,AN9,FALSE)))</f>
        <v>1</v>
      </c>
      <c r="X9" s="493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L9" s="188">
        <f t="shared" si="0"/>
        <v>1</v>
      </c>
      <c r="AM9" s="189"/>
      <c r="AN9" s="189">
        <v>6</v>
      </c>
      <c r="AO9" s="176"/>
      <c r="AP9" s="176"/>
      <c r="AQ9" s="153"/>
      <c r="AR9" s="153"/>
      <c r="AS9" s="153"/>
    </row>
    <row r="10" spans="1:45" s="152" customFormat="1" ht="21.95" customHeight="1" thickTop="1" thickBot="1">
      <c r="A10" s="494" t="s">
        <v>101</v>
      </c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208" t="s">
        <v>102</v>
      </c>
      <c r="P10" s="209" t="s">
        <v>103</v>
      </c>
      <c r="Q10" s="210" t="s">
        <v>104</v>
      </c>
      <c r="R10" s="494" t="s">
        <v>105</v>
      </c>
      <c r="S10" s="495"/>
      <c r="T10" s="495"/>
      <c r="U10" s="495"/>
      <c r="V10" s="495"/>
      <c r="W10" s="495"/>
      <c r="X10" s="495"/>
      <c r="Y10" s="495"/>
      <c r="Z10" s="495"/>
      <c r="AA10" s="495"/>
      <c r="AB10" s="495"/>
      <c r="AC10" s="495"/>
      <c r="AD10" s="495"/>
      <c r="AE10" s="496"/>
      <c r="AF10" s="208" t="s">
        <v>102</v>
      </c>
      <c r="AG10" s="209" t="s">
        <v>103</v>
      </c>
      <c r="AH10" s="210" t="s">
        <v>104</v>
      </c>
      <c r="AL10" s="188">
        <f t="shared" si="0"/>
        <v>1</v>
      </c>
      <c r="AM10" s="189"/>
      <c r="AN10" s="189"/>
      <c r="AO10" s="176"/>
      <c r="AP10" s="176"/>
      <c r="AQ10" s="153"/>
      <c r="AR10" s="153"/>
      <c r="AS10" s="153"/>
    </row>
    <row r="11" spans="1:45" s="152" customFormat="1" ht="18.95" customHeight="1" thickBot="1">
      <c r="A11" s="497" t="str">
        <f>IF(VLOOKUP(AL11,Plan,AM11,FALSE)="","",(VLOOKUP(AL11,Plan,AM11,FALSE)))</f>
        <v>Team 1</v>
      </c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211"/>
      <c r="P11" s="212"/>
      <c r="Q11" s="213"/>
      <c r="R11" s="497" t="str">
        <f>IF(VLOOKUP(AL11,Plan,AN11,FALSE)="","",(VLOOKUP(AL11,Plan,AN11,FALSE)))</f>
        <v>Team 2</v>
      </c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9"/>
      <c r="AF11" s="211"/>
      <c r="AG11" s="212"/>
      <c r="AH11" s="213"/>
      <c r="AL11" s="188">
        <f t="shared" si="0"/>
        <v>1</v>
      </c>
      <c r="AM11" s="189">
        <v>7</v>
      </c>
      <c r="AN11" s="189">
        <v>11</v>
      </c>
      <c r="AO11" s="176"/>
      <c r="AP11" s="176"/>
      <c r="AQ11" s="153"/>
      <c r="AR11" s="153"/>
      <c r="AS11" s="153"/>
    </row>
    <row r="12" spans="1:45" s="152" customFormat="1" ht="18" customHeight="1" thickTop="1" thickBot="1">
      <c r="A12" s="214" t="s">
        <v>106</v>
      </c>
      <c r="B12" s="215" t="s">
        <v>107</v>
      </c>
      <c r="C12" s="216" t="s">
        <v>108</v>
      </c>
      <c r="D12" s="217"/>
      <c r="E12" s="218" t="s">
        <v>109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20"/>
      <c r="P12" s="221"/>
      <c r="Q12" s="222"/>
      <c r="R12" s="214" t="s">
        <v>106</v>
      </c>
      <c r="S12" s="215" t="s">
        <v>107</v>
      </c>
      <c r="T12" s="216" t="s">
        <v>108</v>
      </c>
      <c r="U12" s="217"/>
      <c r="V12" s="218" t="s">
        <v>109</v>
      </c>
      <c r="W12" s="219"/>
      <c r="X12" s="219"/>
      <c r="Y12" s="219"/>
      <c r="Z12" s="219"/>
      <c r="AA12" s="219"/>
      <c r="AB12" s="219"/>
      <c r="AC12" s="219"/>
      <c r="AD12" s="219"/>
      <c r="AE12" s="219"/>
      <c r="AF12" s="220"/>
      <c r="AG12" s="221"/>
      <c r="AH12" s="222"/>
      <c r="AM12" s="153"/>
      <c r="AN12" s="153"/>
      <c r="AO12" s="153"/>
      <c r="AP12" s="153"/>
      <c r="AQ12" s="153"/>
      <c r="AR12" s="153"/>
      <c r="AS12" s="153"/>
    </row>
    <row r="13" spans="1:45" s="232" customFormat="1" ht="18" hidden="1" customHeight="1">
      <c r="A13" s="223"/>
      <c r="B13" s="224"/>
      <c r="C13" s="225"/>
      <c r="D13" s="226"/>
      <c r="E13" s="227" t="e">
        <f>HLOOKUP(A11,[1]Mannschaften!B10:AF12,3,FALSE)</f>
        <v>#N/A</v>
      </c>
      <c r="F13" s="228"/>
      <c r="G13" s="228"/>
      <c r="H13" s="228"/>
      <c r="I13" s="228"/>
      <c r="J13" s="228"/>
      <c r="K13" s="228"/>
      <c r="L13" s="228"/>
      <c r="M13" s="228"/>
      <c r="N13" s="228"/>
      <c r="O13" s="229"/>
      <c r="P13" s="230"/>
      <c r="Q13" s="231"/>
      <c r="R13" s="223"/>
      <c r="S13" s="224"/>
      <c r="T13" s="225"/>
      <c r="U13" s="226"/>
      <c r="V13" s="227" t="e">
        <f>HLOOKUP(R11,[1]Mannschaften!B10:AF13,3,FALSE)</f>
        <v>#N/A</v>
      </c>
      <c r="W13" s="228"/>
      <c r="X13" s="228"/>
      <c r="Y13" s="228"/>
      <c r="Z13" s="228"/>
      <c r="AA13" s="228"/>
      <c r="AB13" s="228"/>
      <c r="AC13" s="228"/>
      <c r="AD13" s="228"/>
      <c r="AE13" s="228"/>
      <c r="AF13" s="229"/>
      <c r="AG13" s="230"/>
      <c r="AH13" s="231"/>
      <c r="AM13" s="233"/>
      <c r="AN13" s="233"/>
      <c r="AO13" s="233"/>
      <c r="AP13" s="233"/>
      <c r="AQ13" s="233"/>
      <c r="AR13" s="233"/>
      <c r="AS13" s="233"/>
    </row>
    <row r="14" spans="1:45" s="152" customFormat="1" ht="18" customHeight="1" thickTop="1">
      <c r="A14" s="234"/>
      <c r="B14" s="235"/>
      <c r="C14" s="236"/>
      <c r="D14" s="237"/>
      <c r="E14" s="480"/>
      <c r="F14" s="481"/>
      <c r="G14" s="481"/>
      <c r="H14" s="481"/>
      <c r="I14" s="481"/>
      <c r="J14" s="481"/>
      <c r="K14" s="481"/>
      <c r="L14" s="481"/>
      <c r="M14" s="481"/>
      <c r="N14" s="482"/>
      <c r="O14" s="238"/>
      <c r="P14" s="239"/>
      <c r="Q14" s="240"/>
      <c r="R14" s="234"/>
      <c r="S14" s="241"/>
      <c r="T14" s="236"/>
      <c r="U14" s="237"/>
      <c r="V14" s="480"/>
      <c r="W14" s="481"/>
      <c r="X14" s="481"/>
      <c r="Y14" s="481"/>
      <c r="Z14" s="481"/>
      <c r="AA14" s="481"/>
      <c r="AB14" s="481"/>
      <c r="AC14" s="481"/>
      <c r="AD14" s="481"/>
      <c r="AE14" s="482"/>
      <c r="AF14" s="238"/>
      <c r="AG14" s="239"/>
      <c r="AH14" s="240"/>
      <c r="AM14" s="153"/>
      <c r="AN14" s="153"/>
      <c r="AO14" s="153"/>
      <c r="AP14" s="153"/>
      <c r="AQ14" s="153"/>
      <c r="AR14" s="153"/>
      <c r="AS14" s="153"/>
    </row>
    <row r="15" spans="1:45" s="152" customFormat="1" ht="18" customHeight="1">
      <c r="A15" s="242"/>
      <c r="B15" s="235"/>
      <c r="C15" s="243"/>
      <c r="D15" s="191"/>
      <c r="E15" s="486"/>
      <c r="F15" s="487"/>
      <c r="G15" s="487"/>
      <c r="H15" s="487"/>
      <c r="I15" s="487"/>
      <c r="J15" s="487"/>
      <c r="K15" s="487"/>
      <c r="L15" s="487"/>
      <c r="M15" s="487"/>
      <c r="N15" s="488"/>
      <c r="O15" s="244"/>
      <c r="P15" s="245"/>
      <c r="Q15" s="246"/>
      <c r="R15" s="242"/>
      <c r="S15" s="235"/>
      <c r="T15" s="243"/>
      <c r="U15" s="191"/>
      <c r="V15" s="486"/>
      <c r="W15" s="487"/>
      <c r="X15" s="487"/>
      <c r="Y15" s="487"/>
      <c r="Z15" s="487"/>
      <c r="AA15" s="487"/>
      <c r="AB15" s="487"/>
      <c r="AC15" s="487"/>
      <c r="AD15" s="487"/>
      <c r="AE15" s="488"/>
      <c r="AF15" s="244"/>
      <c r="AG15" s="245"/>
      <c r="AH15" s="246"/>
      <c r="AM15" s="153"/>
      <c r="AN15" s="153"/>
      <c r="AO15" s="153"/>
      <c r="AP15" s="153"/>
      <c r="AQ15" s="153"/>
      <c r="AR15" s="153"/>
      <c r="AS15" s="153"/>
    </row>
    <row r="16" spans="1:45" s="152" customFormat="1" ht="18" customHeight="1">
      <c r="A16" s="242"/>
      <c r="B16" s="235"/>
      <c r="C16" s="247"/>
      <c r="D16" s="191"/>
      <c r="E16" s="486"/>
      <c r="F16" s="487"/>
      <c r="G16" s="487"/>
      <c r="H16" s="487"/>
      <c r="I16" s="487"/>
      <c r="J16" s="487"/>
      <c r="K16" s="487"/>
      <c r="L16" s="487"/>
      <c r="M16" s="487"/>
      <c r="N16" s="488"/>
      <c r="O16" s="244"/>
      <c r="P16" s="248"/>
      <c r="Q16" s="246"/>
      <c r="R16" s="242"/>
      <c r="S16" s="235"/>
      <c r="T16" s="247"/>
      <c r="U16" s="191"/>
      <c r="V16" s="486"/>
      <c r="W16" s="487"/>
      <c r="X16" s="487"/>
      <c r="Y16" s="487"/>
      <c r="Z16" s="487"/>
      <c r="AA16" s="487"/>
      <c r="AB16" s="487"/>
      <c r="AC16" s="487"/>
      <c r="AD16" s="487"/>
      <c r="AE16" s="488"/>
      <c r="AF16" s="244"/>
      <c r="AG16" s="248"/>
      <c r="AH16" s="246"/>
      <c r="AM16" s="153"/>
      <c r="AN16" s="153"/>
      <c r="AO16" s="153"/>
      <c r="AP16" s="153"/>
      <c r="AQ16" s="153"/>
      <c r="AR16" s="153"/>
      <c r="AS16" s="153"/>
    </row>
    <row r="17" spans="1:45" s="152" customFormat="1" ht="18" customHeight="1">
      <c r="A17" s="242"/>
      <c r="B17" s="235"/>
      <c r="C17" s="249"/>
      <c r="D17" s="191"/>
      <c r="E17" s="486"/>
      <c r="F17" s="487"/>
      <c r="G17" s="487"/>
      <c r="H17" s="487"/>
      <c r="I17" s="487"/>
      <c r="J17" s="487"/>
      <c r="K17" s="487"/>
      <c r="L17" s="487"/>
      <c r="M17" s="487"/>
      <c r="N17" s="488"/>
      <c r="O17" s="244"/>
      <c r="P17" s="248"/>
      <c r="Q17" s="246"/>
      <c r="R17" s="242"/>
      <c r="S17" s="235"/>
      <c r="T17" s="249"/>
      <c r="U17" s="191"/>
      <c r="V17" s="486"/>
      <c r="W17" s="487"/>
      <c r="X17" s="487"/>
      <c r="Y17" s="487"/>
      <c r="Z17" s="487"/>
      <c r="AA17" s="487"/>
      <c r="AB17" s="487"/>
      <c r="AC17" s="487"/>
      <c r="AD17" s="487"/>
      <c r="AE17" s="488"/>
      <c r="AF17" s="244"/>
      <c r="AG17" s="248"/>
      <c r="AH17" s="246"/>
      <c r="AM17" s="153"/>
      <c r="AN17" s="153"/>
      <c r="AO17" s="153"/>
      <c r="AP17" s="153"/>
      <c r="AQ17" s="153"/>
      <c r="AR17" s="153"/>
      <c r="AS17" s="153"/>
    </row>
    <row r="18" spans="1:45" s="152" customFormat="1" ht="18" customHeight="1">
      <c r="A18" s="242"/>
      <c r="B18" s="235"/>
      <c r="C18" s="250"/>
      <c r="D18" s="191"/>
      <c r="E18" s="486"/>
      <c r="F18" s="487"/>
      <c r="G18" s="487"/>
      <c r="H18" s="487"/>
      <c r="I18" s="487"/>
      <c r="J18" s="487"/>
      <c r="K18" s="487"/>
      <c r="L18" s="487"/>
      <c r="M18" s="487"/>
      <c r="N18" s="488"/>
      <c r="O18" s="244"/>
      <c r="P18" s="251"/>
      <c r="Q18" s="246"/>
      <c r="R18" s="242"/>
      <c r="S18" s="235"/>
      <c r="T18" s="250"/>
      <c r="U18" s="191"/>
      <c r="V18" s="486"/>
      <c r="W18" s="487"/>
      <c r="X18" s="487"/>
      <c r="Y18" s="487"/>
      <c r="Z18" s="487"/>
      <c r="AA18" s="487"/>
      <c r="AB18" s="487"/>
      <c r="AC18" s="487"/>
      <c r="AD18" s="487"/>
      <c r="AE18" s="488"/>
      <c r="AF18" s="244"/>
      <c r="AG18" s="251"/>
      <c r="AH18" s="246"/>
      <c r="AM18" s="153"/>
      <c r="AN18" s="153"/>
      <c r="AO18" s="153"/>
      <c r="AP18" s="153"/>
      <c r="AQ18" s="153"/>
      <c r="AR18" s="153"/>
      <c r="AS18" s="153"/>
    </row>
    <row r="19" spans="1:45" s="152" customFormat="1" ht="18" customHeight="1">
      <c r="A19" s="242"/>
      <c r="B19" s="235"/>
      <c r="C19" s="249"/>
      <c r="D19" s="191"/>
      <c r="E19" s="486"/>
      <c r="F19" s="487"/>
      <c r="G19" s="487"/>
      <c r="H19" s="487"/>
      <c r="I19" s="487"/>
      <c r="J19" s="487"/>
      <c r="K19" s="487"/>
      <c r="L19" s="487"/>
      <c r="M19" s="487"/>
      <c r="N19" s="488"/>
      <c r="O19" s="244"/>
      <c r="P19" s="248"/>
      <c r="Q19" s="246"/>
      <c r="R19" s="242"/>
      <c r="S19" s="235"/>
      <c r="T19" s="249"/>
      <c r="U19" s="191"/>
      <c r="V19" s="486"/>
      <c r="W19" s="487"/>
      <c r="X19" s="487"/>
      <c r="Y19" s="487"/>
      <c r="Z19" s="487"/>
      <c r="AA19" s="487"/>
      <c r="AB19" s="487"/>
      <c r="AC19" s="487"/>
      <c r="AD19" s="487"/>
      <c r="AE19" s="488"/>
      <c r="AF19" s="244"/>
      <c r="AG19" s="248"/>
      <c r="AH19" s="246"/>
      <c r="AM19" s="153"/>
      <c r="AN19" s="153"/>
      <c r="AO19" s="153"/>
      <c r="AP19" s="153"/>
      <c r="AQ19" s="153"/>
      <c r="AR19" s="153"/>
      <c r="AS19" s="153"/>
    </row>
    <row r="20" spans="1:45" s="152" customFormat="1" ht="18" customHeight="1">
      <c r="A20" s="242"/>
      <c r="B20" s="235"/>
      <c r="C20" s="249"/>
      <c r="D20" s="191"/>
      <c r="E20" s="486"/>
      <c r="F20" s="487"/>
      <c r="G20" s="487"/>
      <c r="H20" s="487"/>
      <c r="I20" s="487"/>
      <c r="J20" s="487"/>
      <c r="K20" s="487"/>
      <c r="L20" s="487"/>
      <c r="M20" s="487"/>
      <c r="N20" s="488"/>
      <c r="O20" s="244"/>
      <c r="P20" s="248"/>
      <c r="Q20" s="246"/>
      <c r="R20" s="242"/>
      <c r="S20" s="235"/>
      <c r="T20" s="249"/>
      <c r="U20" s="191"/>
      <c r="V20" s="486"/>
      <c r="W20" s="487"/>
      <c r="X20" s="487"/>
      <c r="Y20" s="487"/>
      <c r="Z20" s="487"/>
      <c r="AA20" s="487"/>
      <c r="AB20" s="487"/>
      <c r="AC20" s="487"/>
      <c r="AD20" s="487"/>
      <c r="AE20" s="488"/>
      <c r="AF20" s="244"/>
      <c r="AG20" s="248"/>
      <c r="AH20" s="246"/>
      <c r="AM20" s="153"/>
      <c r="AN20" s="153"/>
      <c r="AO20" s="153"/>
      <c r="AP20" s="153"/>
      <c r="AQ20" s="153"/>
      <c r="AR20" s="153"/>
      <c r="AS20" s="153"/>
    </row>
    <row r="21" spans="1:45" s="152" customFormat="1" ht="18" customHeight="1">
      <c r="A21" s="242"/>
      <c r="B21" s="235"/>
      <c r="C21" s="249"/>
      <c r="D21" s="191"/>
      <c r="E21" s="486"/>
      <c r="F21" s="487"/>
      <c r="G21" s="487"/>
      <c r="H21" s="487"/>
      <c r="I21" s="487"/>
      <c r="J21" s="487"/>
      <c r="K21" s="487"/>
      <c r="L21" s="487"/>
      <c r="M21" s="487"/>
      <c r="N21" s="488"/>
      <c r="O21" s="244"/>
      <c r="P21" s="248"/>
      <c r="Q21" s="246"/>
      <c r="R21" s="242"/>
      <c r="S21" s="235"/>
      <c r="T21" s="249"/>
      <c r="U21" s="191"/>
      <c r="V21" s="486"/>
      <c r="W21" s="487"/>
      <c r="X21" s="487"/>
      <c r="Y21" s="487"/>
      <c r="Z21" s="487"/>
      <c r="AA21" s="487"/>
      <c r="AB21" s="487"/>
      <c r="AC21" s="487"/>
      <c r="AD21" s="487"/>
      <c r="AE21" s="488"/>
      <c r="AF21" s="244"/>
      <c r="AG21" s="248"/>
      <c r="AH21" s="246"/>
      <c r="AM21" s="153"/>
      <c r="AN21" s="153"/>
      <c r="AO21" s="153"/>
      <c r="AP21" s="153"/>
      <c r="AQ21" s="153"/>
      <c r="AR21" s="153"/>
      <c r="AS21" s="153"/>
    </row>
    <row r="22" spans="1:45" s="152" customFormat="1" ht="18" customHeight="1">
      <c r="A22" s="242"/>
      <c r="B22" s="235"/>
      <c r="C22" s="249"/>
      <c r="D22" s="191"/>
      <c r="E22" s="486"/>
      <c r="F22" s="487"/>
      <c r="G22" s="487"/>
      <c r="H22" s="487"/>
      <c r="I22" s="487"/>
      <c r="J22" s="487"/>
      <c r="K22" s="487"/>
      <c r="L22" s="487"/>
      <c r="M22" s="487"/>
      <c r="N22" s="488"/>
      <c r="O22" s="244"/>
      <c r="P22" s="252"/>
      <c r="Q22" s="253"/>
      <c r="R22" s="242"/>
      <c r="S22" s="235"/>
      <c r="T22" s="249"/>
      <c r="U22" s="191"/>
      <c r="V22" s="486"/>
      <c r="W22" s="487"/>
      <c r="X22" s="487"/>
      <c r="Y22" s="487"/>
      <c r="Z22" s="487"/>
      <c r="AA22" s="487"/>
      <c r="AB22" s="487"/>
      <c r="AC22" s="487"/>
      <c r="AD22" s="487"/>
      <c r="AE22" s="488"/>
      <c r="AF22" s="244"/>
      <c r="AG22" s="252"/>
      <c r="AH22" s="253"/>
      <c r="AM22" s="153"/>
      <c r="AN22" s="153"/>
      <c r="AO22" s="153"/>
      <c r="AP22" s="153"/>
      <c r="AQ22" s="153"/>
      <c r="AR22" s="153"/>
      <c r="AS22" s="153"/>
    </row>
    <row r="23" spans="1:45" s="152" customFormat="1" ht="18" customHeight="1" thickBot="1">
      <c r="A23" s="254"/>
      <c r="B23" s="255"/>
      <c r="C23" s="256"/>
      <c r="D23" s="204"/>
      <c r="E23" s="477"/>
      <c r="F23" s="478"/>
      <c r="G23" s="478"/>
      <c r="H23" s="478"/>
      <c r="I23" s="478"/>
      <c r="J23" s="478"/>
      <c r="K23" s="478"/>
      <c r="L23" s="478"/>
      <c r="M23" s="478"/>
      <c r="N23" s="479"/>
      <c r="O23" s="257"/>
      <c r="P23" s="258"/>
      <c r="Q23" s="259"/>
      <c r="R23" s="254"/>
      <c r="S23" s="255"/>
      <c r="T23" s="256"/>
      <c r="U23" s="204"/>
      <c r="V23" s="477"/>
      <c r="W23" s="478"/>
      <c r="X23" s="478"/>
      <c r="Y23" s="478"/>
      <c r="Z23" s="478"/>
      <c r="AA23" s="478"/>
      <c r="AB23" s="478"/>
      <c r="AC23" s="478"/>
      <c r="AD23" s="478"/>
      <c r="AE23" s="479"/>
      <c r="AF23" s="257"/>
      <c r="AG23" s="258"/>
      <c r="AH23" s="259"/>
      <c r="AM23" s="153"/>
      <c r="AN23" s="153"/>
      <c r="AO23" s="153"/>
      <c r="AP23" s="153"/>
      <c r="AQ23" s="153"/>
      <c r="AR23" s="153"/>
      <c r="AS23" s="153"/>
    </row>
    <row r="24" spans="1:45" s="152" customFormat="1" ht="18" customHeight="1" thickTop="1">
      <c r="A24" s="260" t="s">
        <v>110</v>
      </c>
      <c r="B24" s="261"/>
      <c r="C24" s="262"/>
      <c r="D24" s="168">
        <f>D23+1</f>
        <v>1</v>
      </c>
      <c r="E24" s="480"/>
      <c r="F24" s="481"/>
      <c r="G24" s="481"/>
      <c r="H24" s="481"/>
      <c r="I24" s="481"/>
      <c r="J24" s="481"/>
      <c r="K24" s="481"/>
      <c r="L24" s="481"/>
      <c r="M24" s="481"/>
      <c r="N24" s="482"/>
      <c r="O24" s="238"/>
      <c r="P24" s="263"/>
      <c r="Q24" s="264"/>
      <c r="R24" s="260" t="s">
        <v>110</v>
      </c>
      <c r="S24" s="261"/>
      <c r="T24" s="262"/>
      <c r="U24" s="168">
        <f>U23+1</f>
        <v>1</v>
      </c>
      <c r="V24" s="480"/>
      <c r="W24" s="481"/>
      <c r="X24" s="481"/>
      <c r="Y24" s="481"/>
      <c r="Z24" s="481"/>
      <c r="AA24" s="481"/>
      <c r="AB24" s="481"/>
      <c r="AC24" s="481"/>
      <c r="AD24" s="481"/>
      <c r="AE24" s="482"/>
      <c r="AF24" s="238"/>
      <c r="AG24" s="263"/>
      <c r="AH24" s="264"/>
      <c r="AM24" s="153"/>
      <c r="AN24" s="153"/>
      <c r="AO24" s="153"/>
      <c r="AP24" s="153"/>
      <c r="AQ24" s="153"/>
      <c r="AR24" s="153"/>
      <c r="AS24" s="153"/>
    </row>
    <row r="25" spans="1:45" s="152" customFormat="1" ht="18" customHeight="1" thickBot="1">
      <c r="A25" s="265" t="s">
        <v>111</v>
      </c>
      <c r="B25" s="266"/>
      <c r="C25" s="267"/>
      <c r="D25" s="201">
        <f>D24+1</f>
        <v>2</v>
      </c>
      <c r="E25" s="483"/>
      <c r="F25" s="484"/>
      <c r="G25" s="484"/>
      <c r="H25" s="484"/>
      <c r="I25" s="484"/>
      <c r="J25" s="484"/>
      <c r="K25" s="484"/>
      <c r="L25" s="484"/>
      <c r="M25" s="484"/>
      <c r="N25" s="485"/>
      <c r="O25" s="268"/>
      <c r="P25" s="269"/>
      <c r="Q25" s="270"/>
      <c r="R25" s="265" t="s">
        <v>111</v>
      </c>
      <c r="S25" s="266"/>
      <c r="T25" s="267"/>
      <c r="U25" s="201">
        <f>U24+1</f>
        <v>2</v>
      </c>
      <c r="V25" s="483"/>
      <c r="W25" s="484"/>
      <c r="X25" s="484"/>
      <c r="Y25" s="484"/>
      <c r="Z25" s="484"/>
      <c r="AA25" s="484"/>
      <c r="AB25" s="484"/>
      <c r="AC25" s="484"/>
      <c r="AD25" s="484"/>
      <c r="AE25" s="485"/>
      <c r="AF25" s="268"/>
      <c r="AG25" s="269"/>
      <c r="AH25" s="270"/>
      <c r="AM25" s="153"/>
      <c r="AN25" s="153"/>
      <c r="AO25" s="153"/>
      <c r="AP25" s="153"/>
      <c r="AQ25" s="153"/>
      <c r="AR25" s="153"/>
      <c r="AS25" s="153"/>
    </row>
    <row r="26" spans="1:45" s="152" customFormat="1" ht="18" customHeight="1" thickTop="1" thickBot="1">
      <c r="A26" s="271" t="s">
        <v>112</v>
      </c>
      <c r="B26" s="272"/>
      <c r="C26" s="273"/>
      <c r="D26" s="274"/>
      <c r="E26" s="273"/>
      <c r="F26" s="273"/>
      <c r="G26" s="275"/>
      <c r="H26" s="276" t="s">
        <v>113</v>
      </c>
      <c r="I26" s="277"/>
      <c r="J26" s="276" t="s">
        <v>25</v>
      </c>
      <c r="K26" s="278"/>
      <c r="L26" s="467" t="s">
        <v>114</v>
      </c>
      <c r="M26" s="468"/>
      <c r="N26" s="468"/>
      <c r="O26" s="276" t="s">
        <v>24</v>
      </c>
      <c r="P26" s="279"/>
      <c r="Q26" s="280" t="s">
        <v>25</v>
      </c>
      <c r="R26" s="281"/>
      <c r="S26" s="469" t="s">
        <v>115</v>
      </c>
      <c r="T26" s="470"/>
      <c r="U26" s="470"/>
      <c r="V26" s="470"/>
      <c r="W26" s="470"/>
      <c r="X26" s="470"/>
      <c r="Y26" s="471"/>
      <c r="Z26" s="471"/>
      <c r="AA26" s="471"/>
      <c r="AB26" s="471"/>
      <c r="AC26" s="471"/>
      <c r="AD26" s="471"/>
      <c r="AE26" s="471"/>
      <c r="AF26" s="471"/>
      <c r="AG26" s="471"/>
      <c r="AH26" s="472"/>
      <c r="AM26" s="153"/>
      <c r="AN26" s="153"/>
      <c r="AO26" s="153"/>
      <c r="AP26" s="153"/>
      <c r="AQ26" s="153"/>
      <c r="AR26" s="153"/>
      <c r="AS26" s="153"/>
    </row>
    <row r="27" spans="1:45" ht="18" customHeight="1">
      <c r="A27" s="473" t="s">
        <v>116</v>
      </c>
      <c r="B27" s="282"/>
      <c r="C27" s="283" t="s">
        <v>24</v>
      </c>
      <c r="D27" s="284"/>
      <c r="E27" s="285"/>
      <c r="F27" s="286"/>
      <c r="G27" s="286"/>
      <c r="H27" s="286"/>
      <c r="I27" s="287"/>
      <c r="J27" s="288"/>
      <c r="K27" s="286"/>
      <c r="L27" s="286"/>
      <c r="M27" s="286"/>
      <c r="N27" s="287"/>
      <c r="O27" s="288"/>
      <c r="P27" s="286"/>
      <c r="Q27" s="286"/>
      <c r="R27" s="286"/>
      <c r="S27" s="287"/>
      <c r="T27" s="288"/>
      <c r="U27" s="289"/>
      <c r="V27" s="286"/>
      <c r="W27" s="286"/>
      <c r="X27" s="286"/>
      <c r="Y27" s="290"/>
      <c r="Z27" s="288"/>
      <c r="AA27" s="286"/>
      <c r="AB27" s="286"/>
      <c r="AC27" s="286"/>
      <c r="AD27" s="287"/>
      <c r="AE27" s="288"/>
      <c r="AF27" s="286"/>
      <c r="AG27" s="286"/>
      <c r="AH27" s="291"/>
    </row>
    <row r="28" spans="1:45" ht="18" customHeight="1" thickBot="1">
      <c r="A28" s="474"/>
      <c r="B28" s="294"/>
      <c r="C28" s="295" t="s">
        <v>25</v>
      </c>
      <c r="D28" s="296"/>
      <c r="E28" s="297"/>
      <c r="F28" s="298"/>
      <c r="G28" s="298"/>
      <c r="H28" s="298"/>
      <c r="I28" s="299"/>
      <c r="J28" s="300"/>
      <c r="K28" s="298"/>
      <c r="L28" s="298"/>
      <c r="M28" s="298"/>
      <c r="N28" s="299"/>
      <c r="O28" s="300"/>
      <c r="P28" s="298"/>
      <c r="Q28" s="298"/>
      <c r="R28" s="298"/>
      <c r="S28" s="299"/>
      <c r="T28" s="300"/>
      <c r="U28" s="301"/>
      <c r="V28" s="298"/>
      <c r="W28" s="298"/>
      <c r="X28" s="298"/>
      <c r="Y28" s="302"/>
      <c r="Z28" s="300"/>
      <c r="AA28" s="298"/>
      <c r="AB28" s="298"/>
      <c r="AC28" s="298"/>
      <c r="AD28" s="299"/>
      <c r="AE28" s="300"/>
      <c r="AF28" s="298"/>
      <c r="AG28" s="298"/>
      <c r="AH28" s="303"/>
    </row>
    <row r="29" spans="1:45" ht="18" customHeight="1">
      <c r="A29" s="473" t="s">
        <v>117</v>
      </c>
      <c r="B29" s="282"/>
      <c r="C29" s="283" t="s">
        <v>24</v>
      </c>
      <c r="D29" s="284"/>
      <c r="E29" s="285"/>
      <c r="F29" s="286"/>
      <c r="G29" s="286"/>
      <c r="H29" s="286"/>
      <c r="I29" s="287"/>
      <c r="J29" s="288"/>
      <c r="K29" s="286"/>
      <c r="L29" s="286"/>
      <c r="M29" s="286"/>
      <c r="N29" s="287"/>
      <c r="O29" s="288"/>
      <c r="P29" s="286"/>
      <c r="Q29" s="286"/>
      <c r="R29" s="286"/>
      <c r="S29" s="287"/>
      <c r="T29" s="288"/>
      <c r="U29" s="289"/>
      <c r="V29" s="286"/>
      <c r="W29" s="286"/>
      <c r="X29" s="286"/>
      <c r="Y29" s="290"/>
      <c r="Z29" s="288"/>
      <c r="AA29" s="286"/>
      <c r="AB29" s="286"/>
      <c r="AC29" s="286"/>
      <c r="AD29" s="287"/>
      <c r="AE29" s="288"/>
      <c r="AF29" s="286"/>
      <c r="AG29" s="286"/>
      <c r="AH29" s="291"/>
    </row>
    <row r="30" spans="1:45" ht="18" customHeight="1" thickBot="1">
      <c r="A30" s="474"/>
      <c r="B30" s="294"/>
      <c r="C30" s="295" t="s">
        <v>25</v>
      </c>
      <c r="D30" s="296"/>
      <c r="E30" s="297"/>
      <c r="F30" s="298"/>
      <c r="G30" s="298"/>
      <c r="H30" s="298"/>
      <c r="I30" s="299"/>
      <c r="J30" s="300"/>
      <c r="K30" s="298"/>
      <c r="L30" s="298"/>
      <c r="M30" s="298"/>
      <c r="N30" s="299"/>
      <c r="O30" s="300"/>
      <c r="P30" s="298"/>
      <c r="Q30" s="298"/>
      <c r="R30" s="298"/>
      <c r="S30" s="299"/>
      <c r="T30" s="300"/>
      <c r="U30" s="301"/>
      <c r="V30" s="298"/>
      <c r="W30" s="298"/>
      <c r="X30" s="298"/>
      <c r="Y30" s="302"/>
      <c r="Z30" s="300"/>
      <c r="AA30" s="298"/>
      <c r="AB30" s="298"/>
      <c r="AC30" s="298"/>
      <c r="AD30" s="299"/>
      <c r="AE30" s="300"/>
      <c r="AF30" s="298"/>
      <c r="AG30" s="298"/>
      <c r="AH30" s="303"/>
    </row>
    <row r="31" spans="1:45" ht="18" customHeight="1">
      <c r="A31" s="473" t="s">
        <v>118</v>
      </c>
      <c r="B31" s="282"/>
      <c r="C31" s="283" t="s">
        <v>24</v>
      </c>
      <c r="D31" s="284"/>
      <c r="E31" s="285"/>
      <c r="F31" s="286"/>
      <c r="G31" s="286"/>
      <c r="H31" s="286"/>
      <c r="I31" s="287"/>
      <c r="J31" s="288"/>
      <c r="K31" s="286"/>
      <c r="L31" s="286"/>
      <c r="M31" s="286"/>
      <c r="N31" s="287"/>
      <c r="O31" s="288"/>
      <c r="P31" s="286"/>
      <c r="Q31" s="286"/>
      <c r="R31" s="286"/>
      <c r="S31" s="287"/>
      <c r="T31" s="288"/>
      <c r="U31" s="289"/>
      <c r="V31" s="286"/>
      <c r="W31" s="286"/>
      <c r="X31" s="286"/>
      <c r="Y31" s="290"/>
      <c r="Z31" s="288"/>
      <c r="AA31" s="286"/>
      <c r="AB31" s="286"/>
      <c r="AC31" s="286"/>
      <c r="AD31" s="287"/>
      <c r="AE31" s="288"/>
      <c r="AF31" s="286"/>
      <c r="AG31" s="286"/>
      <c r="AH31" s="291"/>
    </row>
    <row r="32" spans="1:45" ht="18" customHeight="1" thickBot="1">
      <c r="A32" s="474"/>
      <c r="B32" s="294"/>
      <c r="C32" s="304" t="s">
        <v>25</v>
      </c>
      <c r="D32" s="203"/>
      <c r="E32" s="305"/>
      <c r="F32" s="306"/>
      <c r="G32" s="306"/>
      <c r="H32" s="306"/>
      <c r="I32" s="307"/>
      <c r="J32" s="308"/>
      <c r="K32" s="306"/>
      <c r="L32" s="306"/>
      <c r="M32" s="306"/>
      <c r="N32" s="307"/>
      <c r="O32" s="308"/>
      <c r="P32" s="306"/>
      <c r="Q32" s="306"/>
      <c r="R32" s="306"/>
      <c r="S32" s="307"/>
      <c r="T32" s="308"/>
      <c r="U32" s="309"/>
      <c r="V32" s="306"/>
      <c r="W32" s="306"/>
      <c r="X32" s="306"/>
      <c r="Y32" s="310"/>
      <c r="Z32" s="308"/>
      <c r="AA32" s="306"/>
      <c r="AB32" s="306"/>
      <c r="AC32" s="306"/>
      <c r="AD32" s="307"/>
      <c r="AE32" s="308"/>
      <c r="AF32" s="306"/>
      <c r="AG32" s="306"/>
      <c r="AH32" s="311"/>
    </row>
    <row r="33" spans="1:34" ht="16.5" customHeight="1">
      <c r="A33" s="312"/>
      <c r="B33" s="475"/>
      <c r="C33" s="313"/>
      <c r="D33" s="284"/>
      <c r="E33" s="284"/>
      <c r="F33" s="284"/>
      <c r="G33" s="284"/>
      <c r="H33" s="314"/>
      <c r="I33" s="453" t="s">
        <v>116</v>
      </c>
      <c r="J33" s="454"/>
      <c r="K33" s="454"/>
      <c r="L33" s="454"/>
      <c r="M33" s="455"/>
      <c r="N33" s="453" t="s">
        <v>117</v>
      </c>
      <c r="O33" s="454"/>
      <c r="P33" s="454"/>
      <c r="Q33" s="454"/>
      <c r="R33" s="455"/>
      <c r="S33" s="453" t="s">
        <v>118</v>
      </c>
      <c r="T33" s="454"/>
      <c r="U33" s="454"/>
      <c r="V33" s="454"/>
      <c r="W33" s="454"/>
      <c r="X33" s="455"/>
      <c r="Y33" s="453" t="s">
        <v>32</v>
      </c>
      <c r="Z33" s="454"/>
      <c r="AA33" s="454"/>
      <c r="AB33" s="454"/>
      <c r="AC33" s="455"/>
      <c r="AD33" s="453" t="s">
        <v>1</v>
      </c>
      <c r="AE33" s="454"/>
      <c r="AF33" s="454"/>
      <c r="AG33" s="454"/>
      <c r="AH33" s="456"/>
    </row>
    <row r="34" spans="1:34" ht="18" customHeight="1" thickBot="1">
      <c r="A34" s="315"/>
      <c r="B34" s="476"/>
      <c r="C34" s="463" t="s">
        <v>119</v>
      </c>
      <c r="D34" s="464"/>
      <c r="E34" s="464"/>
      <c r="F34" s="464"/>
      <c r="G34" s="464"/>
      <c r="H34" s="465"/>
      <c r="I34" s="442"/>
      <c r="J34" s="443"/>
      <c r="K34" s="316" t="s">
        <v>26</v>
      </c>
      <c r="L34" s="443"/>
      <c r="M34" s="466"/>
      <c r="N34" s="442"/>
      <c r="O34" s="443"/>
      <c r="P34" s="316" t="s">
        <v>26</v>
      </c>
      <c r="Q34" s="443"/>
      <c r="R34" s="466"/>
      <c r="S34" s="442"/>
      <c r="T34" s="443"/>
      <c r="U34" s="317"/>
      <c r="V34" s="316" t="s">
        <v>26</v>
      </c>
      <c r="W34" s="443"/>
      <c r="X34" s="466"/>
      <c r="Y34" s="442"/>
      <c r="Z34" s="443"/>
      <c r="AA34" s="316" t="s">
        <v>26</v>
      </c>
      <c r="AB34" s="443"/>
      <c r="AC34" s="466"/>
      <c r="AD34" s="442"/>
      <c r="AE34" s="443"/>
      <c r="AF34" s="316" t="s">
        <v>26</v>
      </c>
      <c r="AG34" s="443"/>
      <c r="AH34" s="444"/>
    </row>
    <row r="35" spans="1:34" ht="19.5" customHeight="1">
      <c r="A35" s="315"/>
      <c r="B35" s="476"/>
      <c r="C35" s="445" t="s">
        <v>120</v>
      </c>
      <c r="D35" s="445"/>
      <c r="E35" s="445"/>
      <c r="F35" s="445"/>
      <c r="G35" s="445"/>
      <c r="H35" s="445"/>
      <c r="I35" s="447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9"/>
      <c r="Y35" s="453" t="s">
        <v>2</v>
      </c>
      <c r="Z35" s="454"/>
      <c r="AA35" s="454"/>
      <c r="AB35" s="454"/>
      <c r="AC35" s="455"/>
      <c r="AD35" s="453" t="s">
        <v>121</v>
      </c>
      <c r="AE35" s="454"/>
      <c r="AF35" s="454"/>
      <c r="AG35" s="454"/>
      <c r="AH35" s="456"/>
    </row>
    <row r="36" spans="1:34" ht="19.5" customHeight="1" thickBot="1">
      <c r="A36" s="318"/>
      <c r="B36" s="476"/>
      <c r="C36" s="446"/>
      <c r="D36" s="446"/>
      <c r="E36" s="446"/>
      <c r="F36" s="446"/>
      <c r="G36" s="446"/>
      <c r="H36" s="446"/>
      <c r="I36" s="450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1"/>
      <c r="V36" s="451"/>
      <c r="W36" s="451"/>
      <c r="X36" s="452"/>
      <c r="Y36" s="457"/>
      <c r="Z36" s="458"/>
      <c r="AA36" s="319" t="s">
        <v>26</v>
      </c>
      <c r="AB36" s="458"/>
      <c r="AC36" s="459"/>
      <c r="AD36" s="460"/>
      <c r="AE36" s="458"/>
      <c r="AF36" s="458"/>
      <c r="AG36" s="461" t="s">
        <v>95</v>
      </c>
      <c r="AH36" s="462"/>
    </row>
    <row r="37" spans="1:34" ht="18" customHeight="1" thickTop="1" thickBot="1">
      <c r="A37" s="439" t="s">
        <v>27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1"/>
    </row>
    <row r="38" spans="1:34" ht="18" customHeight="1" thickBot="1">
      <c r="A38" s="320" t="s">
        <v>122</v>
      </c>
      <c r="B38" s="321"/>
      <c r="C38" s="321"/>
      <c r="D38" s="322"/>
      <c r="E38" s="321"/>
      <c r="F38" s="321"/>
      <c r="G38" s="323"/>
      <c r="H38" s="321"/>
      <c r="I38" s="321"/>
      <c r="J38" s="321"/>
      <c r="K38" s="321"/>
      <c r="L38" s="321"/>
      <c r="M38" s="321"/>
      <c r="N38" s="321"/>
      <c r="O38" s="321"/>
      <c r="P38" s="321"/>
      <c r="Q38" s="324"/>
      <c r="R38" s="325" t="s">
        <v>123</v>
      </c>
      <c r="S38" s="321"/>
      <c r="T38" s="321"/>
      <c r="U38" s="322"/>
      <c r="V38" s="321"/>
      <c r="W38" s="326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8"/>
    </row>
    <row r="39" spans="1:34" ht="18" customHeight="1" thickBot="1">
      <c r="A39" s="320" t="s">
        <v>96</v>
      </c>
      <c r="B39" s="321"/>
      <c r="C39" s="321"/>
      <c r="D39" s="322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4"/>
      <c r="R39" s="329" t="s">
        <v>124</v>
      </c>
      <c r="S39" s="321"/>
      <c r="T39" s="321"/>
      <c r="U39" s="322"/>
      <c r="V39" s="321"/>
      <c r="W39" s="330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31"/>
    </row>
    <row r="40" spans="1:34" ht="18" customHeight="1" thickBot="1">
      <c r="A40" s="332" t="s">
        <v>125</v>
      </c>
      <c r="B40" s="333"/>
      <c r="C40" s="333"/>
      <c r="D40" s="334"/>
      <c r="E40" s="333"/>
      <c r="F40" s="333"/>
      <c r="G40" s="333"/>
      <c r="H40" s="333"/>
      <c r="I40" s="333"/>
      <c r="J40" s="335" t="s">
        <v>126</v>
      </c>
      <c r="K40" s="336"/>
      <c r="L40" s="336"/>
      <c r="M40" s="336"/>
      <c r="N40" s="337"/>
      <c r="O40" s="333"/>
      <c r="P40" s="335" t="s">
        <v>127</v>
      </c>
      <c r="Q40" s="336"/>
      <c r="R40" s="336"/>
      <c r="S40" s="336"/>
      <c r="T40" s="337"/>
      <c r="U40" s="334"/>
      <c r="V40" s="333"/>
      <c r="W40" s="335" t="s">
        <v>128</v>
      </c>
      <c r="X40" s="336"/>
      <c r="Y40" s="336"/>
      <c r="Z40" s="336"/>
      <c r="AA40" s="336"/>
      <c r="AB40" s="337"/>
      <c r="AC40" s="333"/>
      <c r="AD40" s="335" t="s">
        <v>129</v>
      </c>
      <c r="AE40" s="336"/>
      <c r="AF40" s="336"/>
      <c r="AG40" s="337"/>
      <c r="AH40" s="338"/>
    </row>
    <row r="41" spans="1:34" ht="13.5" thickTop="1">
      <c r="A41" s="292"/>
      <c r="B41" s="292"/>
      <c r="C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</row>
    <row r="42" spans="1:34">
      <c r="A42" s="340" t="s">
        <v>130</v>
      </c>
      <c r="B42" s="292"/>
      <c r="C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</row>
    <row r="43" spans="1:34">
      <c r="A43" s="292"/>
      <c r="B43" s="292"/>
      <c r="C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</row>
    <row r="44" spans="1:34">
      <c r="A44" s="292"/>
      <c r="B44" s="292"/>
      <c r="C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</row>
    <row r="45" spans="1:34">
      <c r="A45" s="292"/>
      <c r="B45" s="292"/>
      <c r="C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</row>
    <row r="46" spans="1:34">
      <c r="A46" s="292"/>
      <c r="B46" s="292"/>
      <c r="C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</row>
    <row r="47" spans="1:34">
      <c r="A47" s="292"/>
      <c r="B47" s="292"/>
      <c r="C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</row>
    <row r="48" spans="1:34">
      <c r="A48" s="292"/>
      <c r="B48" s="292"/>
      <c r="C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</row>
    <row r="49" spans="1:34">
      <c r="A49" s="292"/>
      <c r="B49" s="292"/>
      <c r="C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</row>
    <row r="50" spans="1:34">
      <c r="A50" s="292"/>
      <c r="B50" s="292"/>
      <c r="C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</row>
    <row r="51" spans="1:34">
      <c r="A51" s="292"/>
      <c r="B51" s="292"/>
      <c r="C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</row>
    <row r="52" spans="1:34">
      <c r="A52" s="292"/>
      <c r="B52" s="292"/>
      <c r="C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</row>
    <row r="53" spans="1:34">
      <c r="A53" s="292"/>
      <c r="B53" s="292"/>
      <c r="C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</row>
    <row r="54" spans="1:34">
      <c r="A54" s="292"/>
      <c r="B54" s="292"/>
      <c r="C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</row>
    <row r="55" spans="1:34">
      <c r="A55" s="292"/>
      <c r="B55" s="292"/>
      <c r="C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</row>
    <row r="56" spans="1:34">
      <c r="A56" s="292"/>
      <c r="B56" s="292"/>
      <c r="C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</row>
    <row r="57" spans="1:34">
      <c r="A57" s="292"/>
      <c r="B57" s="292"/>
      <c r="C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</row>
    <row r="58" spans="1:34">
      <c r="A58" s="292"/>
      <c r="B58" s="292"/>
      <c r="C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</row>
    <row r="59" spans="1:34">
      <c r="A59" s="292"/>
      <c r="B59" s="292"/>
      <c r="C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</row>
    <row r="60" spans="1:34">
      <c r="A60" s="292"/>
      <c r="B60" s="292"/>
      <c r="C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</row>
    <row r="61" spans="1:34">
      <c r="A61" s="292"/>
      <c r="B61" s="292"/>
      <c r="C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</row>
    <row r="62" spans="1:34">
      <c r="A62" s="292"/>
      <c r="B62" s="292"/>
      <c r="C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</row>
    <row r="63" spans="1:34">
      <c r="A63" s="292"/>
      <c r="B63" s="292"/>
      <c r="C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</row>
    <row r="64" spans="1:34">
      <c r="A64" s="292"/>
      <c r="B64" s="292"/>
      <c r="C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</row>
    <row r="65" spans="1:34">
      <c r="A65" s="292"/>
      <c r="B65" s="292"/>
      <c r="C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</row>
    <row r="66" spans="1:34">
      <c r="A66" s="292"/>
      <c r="B66" s="292"/>
      <c r="C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</row>
    <row r="67" spans="1:34">
      <c r="A67" s="292"/>
      <c r="B67" s="292"/>
      <c r="C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</row>
    <row r="68" spans="1:34">
      <c r="A68" s="292"/>
      <c r="B68" s="292"/>
      <c r="C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</row>
    <row r="69" spans="1:34">
      <c r="A69" s="292"/>
      <c r="B69" s="292"/>
      <c r="C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</row>
    <row r="70" spans="1:34">
      <c r="A70" s="292"/>
      <c r="B70" s="292"/>
      <c r="C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</row>
    <row r="71" spans="1:34">
      <c r="A71" s="292"/>
      <c r="B71" s="292"/>
      <c r="C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</row>
    <row r="72" spans="1:34">
      <c r="A72" s="292"/>
      <c r="B72" s="292"/>
      <c r="C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</row>
    <row r="73" spans="1:34">
      <c r="A73" s="292"/>
      <c r="B73" s="292"/>
      <c r="C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</row>
    <row r="74" spans="1:34">
      <c r="A74" s="292"/>
      <c r="B74" s="292"/>
      <c r="C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</row>
    <row r="75" spans="1:34">
      <c r="A75" s="292"/>
      <c r="B75" s="292"/>
      <c r="C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</row>
    <row r="76" spans="1:34">
      <c r="A76" s="292"/>
      <c r="B76" s="292"/>
      <c r="C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</row>
    <row r="77" spans="1:34">
      <c r="A77" s="292"/>
      <c r="B77" s="292"/>
      <c r="C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</row>
    <row r="78" spans="1:34">
      <c r="A78" s="292"/>
      <c r="B78" s="292"/>
      <c r="C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</row>
    <row r="79" spans="1:34">
      <c r="A79" s="292"/>
      <c r="B79" s="292"/>
      <c r="C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</row>
    <row r="80" spans="1:34">
      <c r="A80" s="292"/>
      <c r="B80" s="292"/>
      <c r="C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</row>
    <row r="81" spans="1:34">
      <c r="A81" s="292"/>
      <c r="B81" s="292"/>
      <c r="C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</row>
    <row r="82" spans="1:34">
      <c r="A82" s="292"/>
      <c r="B82" s="292"/>
      <c r="C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</row>
    <row r="83" spans="1:34">
      <c r="A83" s="292"/>
      <c r="B83" s="292"/>
      <c r="C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</row>
    <row r="84" spans="1:34">
      <c r="A84" s="292"/>
      <c r="B84" s="292"/>
      <c r="C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</row>
    <row r="85" spans="1:34">
      <c r="A85" s="292"/>
      <c r="B85" s="292"/>
      <c r="C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</row>
    <row r="86" spans="1:34">
      <c r="A86" s="292"/>
      <c r="B86" s="292"/>
      <c r="C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</row>
    <row r="87" spans="1:34">
      <c r="A87" s="292"/>
      <c r="B87" s="292"/>
      <c r="C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</row>
    <row r="88" spans="1:34">
      <c r="A88" s="292"/>
      <c r="B88" s="292"/>
      <c r="C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</row>
    <row r="89" spans="1:34">
      <c r="A89" s="292"/>
      <c r="B89" s="292"/>
      <c r="C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</row>
    <row r="90" spans="1:34">
      <c r="A90" s="292"/>
      <c r="B90" s="292"/>
      <c r="C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</row>
    <row r="91" spans="1:34">
      <c r="A91" s="292"/>
      <c r="B91" s="292"/>
      <c r="C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</row>
    <row r="92" spans="1:34">
      <c r="A92" s="292"/>
      <c r="B92" s="292"/>
      <c r="C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</row>
    <row r="93" spans="1:34">
      <c r="A93" s="292"/>
      <c r="B93" s="292"/>
      <c r="C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</row>
    <row r="94" spans="1:34">
      <c r="A94" s="292"/>
      <c r="B94" s="292"/>
      <c r="C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</row>
    <row r="95" spans="1:34">
      <c r="A95" s="292"/>
      <c r="B95" s="292"/>
      <c r="C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</row>
    <row r="96" spans="1:34">
      <c r="A96" s="292"/>
      <c r="B96" s="292"/>
      <c r="C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</row>
    <row r="97" spans="1:34">
      <c r="A97" s="292"/>
      <c r="B97" s="292"/>
      <c r="C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</row>
    <row r="98" spans="1:34">
      <c r="A98" s="292"/>
      <c r="B98" s="292"/>
      <c r="C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</row>
    <row r="99" spans="1:34">
      <c r="A99" s="292"/>
      <c r="B99" s="292"/>
      <c r="C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</row>
    <row r="100" spans="1:34">
      <c r="A100" s="292"/>
      <c r="B100" s="292"/>
      <c r="C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</row>
    <row r="101" spans="1:34">
      <c r="A101" s="292"/>
      <c r="B101" s="292"/>
      <c r="C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</row>
    <row r="102" spans="1:34">
      <c r="A102" s="292"/>
      <c r="B102" s="292"/>
      <c r="C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</row>
    <row r="103" spans="1:34">
      <c r="A103" s="292"/>
      <c r="B103" s="292"/>
      <c r="C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</row>
    <row r="104" spans="1:34">
      <c r="A104" s="292"/>
      <c r="B104" s="292"/>
      <c r="C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</row>
    <row r="105" spans="1:34">
      <c r="A105" s="292"/>
      <c r="B105" s="292"/>
      <c r="C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</row>
    <row r="106" spans="1:34">
      <c r="A106" s="292"/>
      <c r="B106" s="292"/>
      <c r="C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</row>
    <row r="107" spans="1:34">
      <c r="A107" s="292"/>
      <c r="B107" s="292"/>
      <c r="C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</row>
    <row r="108" spans="1:34">
      <c r="A108" s="292"/>
      <c r="B108" s="292"/>
      <c r="C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</row>
    <row r="109" spans="1:34">
      <c r="A109" s="292"/>
      <c r="B109" s="292"/>
      <c r="C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</row>
    <row r="110" spans="1:34">
      <c r="A110" s="292"/>
      <c r="B110" s="292"/>
      <c r="C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</row>
    <row r="111" spans="1:34">
      <c r="A111" s="292"/>
      <c r="B111" s="292"/>
      <c r="C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</row>
    <row r="112" spans="1:34">
      <c r="A112" s="292"/>
      <c r="B112" s="292"/>
      <c r="C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</row>
    <row r="113" spans="1:34">
      <c r="A113" s="292"/>
      <c r="B113" s="292"/>
      <c r="C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</row>
    <row r="114" spans="1:34">
      <c r="A114" s="292"/>
      <c r="B114" s="292"/>
      <c r="C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</row>
    <row r="115" spans="1:34">
      <c r="A115" s="292"/>
      <c r="B115" s="292"/>
      <c r="C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</row>
    <row r="116" spans="1:34">
      <c r="A116" s="292"/>
      <c r="B116" s="292"/>
      <c r="C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</row>
    <row r="117" spans="1:34">
      <c r="A117" s="292"/>
      <c r="B117" s="292"/>
      <c r="C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</row>
    <row r="118" spans="1:34">
      <c r="A118" s="292"/>
      <c r="B118" s="292"/>
      <c r="C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</row>
    <row r="119" spans="1:34">
      <c r="A119" s="292"/>
      <c r="B119" s="292"/>
      <c r="C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</row>
    <row r="120" spans="1:34">
      <c r="A120" s="292"/>
      <c r="B120" s="292"/>
      <c r="C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</row>
    <row r="121" spans="1:34">
      <c r="A121" s="292"/>
      <c r="B121" s="292"/>
      <c r="C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</row>
    <row r="122" spans="1:34">
      <c r="A122" s="292"/>
      <c r="B122" s="292"/>
      <c r="C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</row>
    <row r="123" spans="1:34">
      <c r="A123" s="292"/>
      <c r="B123" s="292"/>
      <c r="C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</row>
    <row r="124" spans="1:34">
      <c r="A124" s="292"/>
      <c r="B124" s="292"/>
      <c r="C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</row>
    <row r="125" spans="1:34">
      <c r="A125" s="292"/>
      <c r="B125" s="292"/>
      <c r="C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</row>
    <row r="126" spans="1:34">
      <c r="A126" s="292"/>
      <c r="B126" s="292"/>
      <c r="C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</row>
    <row r="127" spans="1:34">
      <c r="A127" s="292"/>
      <c r="B127" s="292"/>
      <c r="C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</row>
    <row r="128" spans="1:34">
      <c r="A128" s="292"/>
      <c r="B128" s="292"/>
      <c r="C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</row>
    <row r="129" spans="1:34">
      <c r="A129" s="292"/>
      <c r="B129" s="292"/>
      <c r="C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</row>
    <row r="130" spans="1:34">
      <c r="A130" s="292"/>
      <c r="B130" s="292"/>
      <c r="C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</row>
    <row r="131" spans="1:34">
      <c r="A131" s="292"/>
      <c r="B131" s="292"/>
      <c r="C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</row>
    <row r="132" spans="1:34">
      <c r="A132" s="292"/>
      <c r="B132" s="292"/>
      <c r="C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</row>
    <row r="133" spans="1:34">
      <c r="A133" s="292"/>
      <c r="B133" s="292"/>
      <c r="C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</row>
    <row r="134" spans="1:34">
      <c r="A134" s="292"/>
      <c r="B134" s="292"/>
      <c r="C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</row>
    <row r="135" spans="1:34">
      <c r="A135" s="292"/>
      <c r="B135" s="292"/>
      <c r="C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</row>
    <row r="136" spans="1:34">
      <c r="A136" s="292"/>
      <c r="B136" s="292"/>
      <c r="C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</row>
    <row r="137" spans="1:34">
      <c r="A137" s="292"/>
      <c r="B137" s="292"/>
      <c r="C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</row>
    <row r="138" spans="1:34">
      <c r="A138" s="292"/>
      <c r="B138" s="292"/>
      <c r="C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</row>
    <row r="139" spans="1:34">
      <c r="A139" s="292"/>
      <c r="B139" s="292"/>
      <c r="C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</row>
    <row r="140" spans="1:34">
      <c r="A140" s="292"/>
      <c r="B140" s="292"/>
      <c r="C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</row>
    <row r="141" spans="1:34">
      <c r="A141" s="292"/>
      <c r="B141" s="292"/>
      <c r="C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</row>
    <row r="142" spans="1:34">
      <c r="A142" s="292"/>
      <c r="B142" s="292"/>
      <c r="C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</row>
    <row r="143" spans="1:34">
      <c r="A143" s="292"/>
      <c r="B143" s="292"/>
      <c r="C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</row>
    <row r="144" spans="1:34">
      <c r="A144" s="292"/>
      <c r="B144" s="292"/>
      <c r="C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</row>
    <row r="145" spans="1:34">
      <c r="A145" s="292"/>
      <c r="B145" s="292"/>
      <c r="C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</row>
    <row r="146" spans="1:34">
      <c r="A146" s="292"/>
      <c r="B146" s="292"/>
      <c r="C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</row>
    <row r="147" spans="1:34">
      <c r="A147" s="292"/>
      <c r="B147" s="292"/>
      <c r="C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</row>
    <row r="148" spans="1:34">
      <c r="A148" s="292"/>
      <c r="B148" s="292"/>
      <c r="C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</row>
    <row r="149" spans="1:34">
      <c r="A149" s="292"/>
      <c r="B149" s="292"/>
      <c r="C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</row>
    <row r="150" spans="1:34">
      <c r="A150" s="292"/>
      <c r="B150" s="292"/>
      <c r="C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</row>
    <row r="151" spans="1:34">
      <c r="A151" s="292"/>
      <c r="B151" s="292"/>
      <c r="C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</row>
    <row r="152" spans="1:34">
      <c r="A152" s="292"/>
      <c r="B152" s="292"/>
      <c r="C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</row>
    <row r="153" spans="1:34">
      <c r="A153" s="292"/>
      <c r="B153" s="292"/>
      <c r="C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</row>
    <row r="154" spans="1:34">
      <c r="A154" s="292"/>
      <c r="B154" s="292"/>
      <c r="C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</row>
    <row r="155" spans="1:34">
      <c r="A155" s="292"/>
      <c r="B155" s="292"/>
      <c r="C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</row>
    <row r="156" spans="1:34">
      <c r="A156" s="292"/>
      <c r="B156" s="292"/>
      <c r="C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</row>
    <row r="157" spans="1:34">
      <c r="A157" s="292"/>
      <c r="B157" s="292"/>
      <c r="C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</row>
    <row r="158" spans="1:34">
      <c r="A158" s="292"/>
      <c r="B158" s="292"/>
      <c r="C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</row>
    <row r="159" spans="1:34">
      <c r="A159" s="292"/>
      <c r="B159" s="292"/>
      <c r="C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</row>
    <row r="160" spans="1:34">
      <c r="A160" s="292"/>
      <c r="B160" s="292"/>
      <c r="C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</row>
    <row r="161" spans="1:34">
      <c r="A161" s="292"/>
      <c r="B161" s="292"/>
      <c r="C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</row>
    <row r="162" spans="1:34">
      <c r="A162" s="292"/>
      <c r="B162" s="292"/>
      <c r="C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</row>
    <row r="163" spans="1:34">
      <c r="A163" s="292"/>
      <c r="B163" s="292"/>
      <c r="C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</row>
    <row r="164" spans="1:34">
      <c r="A164" s="292"/>
      <c r="B164" s="292"/>
      <c r="C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</row>
    <row r="165" spans="1:34">
      <c r="A165" s="292"/>
      <c r="B165" s="292"/>
      <c r="C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</row>
    <row r="166" spans="1:34">
      <c r="A166" s="292"/>
      <c r="B166" s="292"/>
      <c r="C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</row>
    <row r="167" spans="1:34">
      <c r="A167" s="292"/>
      <c r="B167" s="292"/>
      <c r="C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</row>
    <row r="168" spans="1:34">
      <c r="A168" s="292"/>
      <c r="B168" s="292"/>
      <c r="C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</row>
    <row r="169" spans="1:34">
      <c r="A169" s="292"/>
      <c r="B169" s="292"/>
      <c r="C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</row>
    <row r="170" spans="1:34">
      <c r="A170" s="292"/>
      <c r="B170" s="292"/>
      <c r="C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</row>
    <row r="171" spans="1:34">
      <c r="A171" s="292"/>
      <c r="B171" s="292"/>
      <c r="C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</row>
    <row r="172" spans="1:34">
      <c r="A172" s="292"/>
      <c r="B172" s="292"/>
      <c r="C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</row>
    <row r="173" spans="1:34">
      <c r="A173" s="292"/>
      <c r="B173" s="292"/>
      <c r="C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</row>
    <row r="174" spans="1:34">
      <c r="A174" s="292"/>
      <c r="B174" s="292"/>
      <c r="C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</row>
    <row r="175" spans="1:34">
      <c r="A175" s="292"/>
      <c r="B175" s="292"/>
      <c r="C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</row>
    <row r="176" spans="1:34">
      <c r="A176" s="292"/>
      <c r="B176" s="292"/>
      <c r="C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</row>
    <row r="177" spans="1:34">
      <c r="A177" s="292"/>
      <c r="B177" s="292"/>
      <c r="C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</row>
    <row r="178" spans="1:34">
      <c r="A178" s="292"/>
      <c r="B178" s="292"/>
      <c r="C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</row>
    <row r="179" spans="1:34">
      <c r="A179" s="292"/>
      <c r="B179" s="292"/>
      <c r="C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</row>
    <row r="180" spans="1:34">
      <c r="A180" s="292"/>
      <c r="B180" s="292"/>
      <c r="C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</row>
  </sheetData>
  <sheetProtection selectLockedCells="1"/>
  <mergeCells count="79">
    <mergeCell ref="A1:AC1"/>
    <mergeCell ref="A2:AC2"/>
    <mergeCell ref="G3:AC3"/>
    <mergeCell ref="AM3:AM4"/>
    <mergeCell ref="AN3:AN4"/>
    <mergeCell ref="AO3:AO4"/>
    <mergeCell ref="AP3:AP4"/>
    <mergeCell ref="G4:AC4"/>
    <mergeCell ref="F5:Q5"/>
    <mergeCell ref="W5:AC5"/>
    <mergeCell ref="F6:Q6"/>
    <mergeCell ref="W6:AA6"/>
    <mergeCell ref="F7:Q7"/>
    <mergeCell ref="W7:Z7"/>
    <mergeCell ref="AD7:AH7"/>
    <mergeCell ref="F8:Q8"/>
    <mergeCell ref="W8:X8"/>
    <mergeCell ref="AD8:AE8"/>
    <mergeCell ref="F9:Q9"/>
    <mergeCell ref="W9:X9"/>
    <mergeCell ref="A10:N10"/>
    <mergeCell ref="R10:AE10"/>
    <mergeCell ref="A11:N11"/>
    <mergeCell ref="R11:AE11"/>
    <mergeCell ref="E14:N14"/>
    <mergeCell ref="V14:AE14"/>
    <mergeCell ref="E15:N15"/>
    <mergeCell ref="V15:AE15"/>
    <mergeCell ref="E16:N16"/>
    <mergeCell ref="V16:AE16"/>
    <mergeCell ref="E17:N17"/>
    <mergeCell ref="V17:AE17"/>
    <mergeCell ref="E18:N18"/>
    <mergeCell ref="V18:AE18"/>
    <mergeCell ref="E19:N19"/>
    <mergeCell ref="V19:AE19"/>
    <mergeCell ref="E20:N20"/>
    <mergeCell ref="V20:AE20"/>
    <mergeCell ref="E21:N21"/>
    <mergeCell ref="V21:AE21"/>
    <mergeCell ref="E22:N22"/>
    <mergeCell ref="V22:AE22"/>
    <mergeCell ref="Y33:AC33"/>
    <mergeCell ref="E23:N23"/>
    <mergeCell ref="V23:AE23"/>
    <mergeCell ref="E24:N24"/>
    <mergeCell ref="V24:AE24"/>
    <mergeCell ref="E25:N25"/>
    <mergeCell ref="V25:AE25"/>
    <mergeCell ref="AB34:AC34"/>
    <mergeCell ref="L26:N26"/>
    <mergeCell ref="S26:AH26"/>
    <mergeCell ref="A27:A28"/>
    <mergeCell ref="A29:A30"/>
    <mergeCell ref="A31:A32"/>
    <mergeCell ref="B33:B36"/>
    <mergeCell ref="I33:M33"/>
    <mergeCell ref="N33:R33"/>
    <mergeCell ref="S33:X33"/>
    <mergeCell ref="AG36:AH36"/>
    <mergeCell ref="AD33:AH33"/>
    <mergeCell ref="C34:H34"/>
    <mergeCell ref="I34:J34"/>
    <mergeCell ref="L34:M34"/>
    <mergeCell ref="N34:O34"/>
    <mergeCell ref="Q34:R34"/>
    <mergeCell ref="S34:T34"/>
    <mergeCell ref="W34:X34"/>
    <mergeCell ref="Y34:Z34"/>
    <mergeCell ref="A37:AH37"/>
    <mergeCell ref="AD34:AE34"/>
    <mergeCell ref="AG34:AH34"/>
    <mergeCell ref="C35:H36"/>
    <mergeCell ref="I35:X36"/>
    <mergeCell ref="Y35:AC35"/>
    <mergeCell ref="AD35:AH35"/>
    <mergeCell ref="Y36:Z36"/>
    <mergeCell ref="AB36:AC36"/>
    <mergeCell ref="AD36:AF36"/>
  </mergeCells>
  <pageMargins left="0.51181102362204722" right="0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Platzierung</vt:lpstr>
      <vt:lpstr>Spielplan</vt:lpstr>
      <vt:lpstr>Kontrollbogen</vt:lpstr>
      <vt:lpstr>Spielbericht</vt:lpstr>
      <vt:lpstr>Spielbericht!Druckbereich</vt:lpstr>
      <vt:lpstr>Spielplan!Druckbereich</vt:lpstr>
      <vt:lpstr>Platzierung!Drucktitel</vt:lpstr>
      <vt:lpstr>Spielplan!Drucktitel</vt:lpstr>
      <vt:lpstr>Mannschaft</vt:lpstr>
      <vt:lpstr>Plan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2017-09-06T12:12:31Z</cp:lastPrinted>
  <dcterms:created xsi:type="dcterms:W3CDTF">2006-05-16T18:09:25Z</dcterms:created>
  <dcterms:modified xsi:type="dcterms:W3CDTF">2021-09-25T10:28:41Z</dcterms:modified>
  <cp:category>Faustball</cp:category>
</cp:coreProperties>
</file>