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829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Platzierung!#REF!</definedName>
    <definedName name="_xlnm.Print_Area" localSheetId="3">Spielbericht!$A$1:$AH$42</definedName>
    <definedName name="_xlnm.Print_Area" localSheetId="1">Spielplan!$C$1:$AR$165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Spielplan!$A$4:$AT$317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 fullCalcOnLoad="1"/>
</workbook>
</file>

<file path=xl/calcChain.xml><?xml version="1.0" encoding="utf-8"?>
<calcChain xmlns="http://schemas.openxmlformats.org/spreadsheetml/2006/main">
  <c r="D3" i="46" l="1"/>
  <c r="A21" i="46"/>
  <c r="AR78" i="25"/>
  <c r="AR77" i="25"/>
  <c r="AR49" i="25"/>
  <c r="AR48" i="25"/>
  <c r="AR36" i="25"/>
  <c r="AR35" i="25"/>
  <c r="AR7" i="25"/>
  <c r="AR6" i="25"/>
  <c r="AN7" i="25"/>
  <c r="A20" i="46"/>
  <c r="A19" i="46"/>
  <c r="A18" i="46"/>
  <c r="A17" i="46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49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M134" i="25"/>
  <c r="M135" i="25"/>
  <c r="M136" i="25"/>
  <c r="M137" i="25"/>
  <c r="M138" i="25"/>
  <c r="M139" i="25"/>
  <c r="M140" i="25"/>
  <c r="M141" i="25"/>
  <c r="M142" i="25"/>
  <c r="M143" i="25"/>
  <c r="M144" i="25"/>
  <c r="M145" i="25"/>
  <c r="M146" i="25"/>
  <c r="M147" i="25"/>
  <c r="M148" i="25"/>
  <c r="M149" i="25"/>
  <c r="M150" i="25"/>
  <c r="M151" i="25"/>
  <c r="M152" i="25"/>
  <c r="M153" i="25"/>
  <c r="M154" i="25"/>
  <c r="M155" i="25"/>
  <c r="M156" i="25"/>
  <c r="M157" i="25"/>
  <c r="M158" i="25"/>
  <c r="M159" i="25"/>
  <c r="M160" i="25"/>
  <c r="M161" i="25"/>
  <c r="M162" i="25"/>
  <c r="M133" i="25"/>
  <c r="K133" i="25"/>
  <c r="K115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M115" i="25"/>
  <c r="M116" i="25"/>
  <c r="M117" i="25"/>
  <c r="M118" i="25"/>
  <c r="M119" i="25"/>
  <c r="M120" i="25"/>
  <c r="M121" i="25"/>
  <c r="M122" i="25"/>
  <c r="M123" i="25"/>
  <c r="M124" i="25"/>
  <c r="M125" i="25"/>
  <c r="M126" i="25"/>
  <c r="M127" i="25"/>
  <c r="M128" i="25"/>
  <c r="M86" i="25"/>
  <c r="M87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33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06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77" i="25"/>
  <c r="B36" i="25"/>
  <c r="B37" i="25"/>
  <c r="B38" i="25"/>
  <c r="B39" i="25"/>
  <c r="B40" i="25"/>
  <c r="B41" i="25"/>
  <c r="B42" i="25"/>
  <c r="B43" i="25"/>
  <c r="B35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48" i="25"/>
  <c r="AH134" i="25"/>
  <c r="AH135" i="25"/>
  <c r="AH136" i="25"/>
  <c r="AH137" i="25"/>
  <c r="AH138" i="25"/>
  <c r="AH139" i="25"/>
  <c r="AH140" i="25"/>
  <c r="AH141" i="25"/>
  <c r="AH142" i="25"/>
  <c r="AH143" i="25"/>
  <c r="AH144" i="25"/>
  <c r="AH145" i="25"/>
  <c r="AH146" i="25"/>
  <c r="AH147" i="25"/>
  <c r="AH148" i="25"/>
  <c r="AH149" i="25"/>
  <c r="AH150" i="25"/>
  <c r="AH151" i="25"/>
  <c r="AH152" i="25"/>
  <c r="AH153" i="25"/>
  <c r="AH154" i="25"/>
  <c r="AH155" i="25"/>
  <c r="AH156" i="25"/>
  <c r="AH157" i="25"/>
  <c r="AH158" i="25"/>
  <c r="AH159" i="25"/>
  <c r="AH160" i="25"/>
  <c r="AH161" i="25"/>
  <c r="AH162" i="25"/>
  <c r="AF134" i="25"/>
  <c r="AF135" i="25"/>
  <c r="AF136" i="25"/>
  <c r="AF137" i="25"/>
  <c r="AF138" i="25"/>
  <c r="AF139" i="25"/>
  <c r="AF140" i="25"/>
  <c r="AF141" i="25"/>
  <c r="AF142" i="25"/>
  <c r="AF143" i="25"/>
  <c r="AF144" i="25"/>
  <c r="AF145" i="25"/>
  <c r="AF146" i="25"/>
  <c r="AF147" i="25"/>
  <c r="AF148" i="25"/>
  <c r="AF149" i="25"/>
  <c r="AF150" i="25"/>
  <c r="AF151" i="25"/>
  <c r="AF152" i="25"/>
  <c r="AF153" i="25"/>
  <c r="AF154" i="25"/>
  <c r="AF155" i="25"/>
  <c r="AF156" i="25"/>
  <c r="AF157" i="25"/>
  <c r="AF158" i="25"/>
  <c r="AF159" i="25"/>
  <c r="AF160" i="25"/>
  <c r="AF161" i="25"/>
  <c r="AF162" i="25"/>
  <c r="AD134" i="25"/>
  <c r="AD135" i="25"/>
  <c r="AD136" i="25"/>
  <c r="AD137" i="25"/>
  <c r="AD138" i="25"/>
  <c r="AD139" i="25"/>
  <c r="AD140" i="25"/>
  <c r="AD141" i="25"/>
  <c r="AD142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Z134" i="25"/>
  <c r="Z135" i="25"/>
  <c r="Z136" i="25"/>
  <c r="Z137" i="25"/>
  <c r="Z138" i="25"/>
  <c r="Z139" i="25"/>
  <c r="Z140" i="25"/>
  <c r="Z141" i="25"/>
  <c r="Z142" i="25"/>
  <c r="Z143" i="25"/>
  <c r="Z144" i="25"/>
  <c r="Z145" i="25"/>
  <c r="Z146" i="25"/>
  <c r="Z147" i="25"/>
  <c r="Z148" i="25"/>
  <c r="Z149" i="25"/>
  <c r="Z150" i="25"/>
  <c r="Z151" i="25"/>
  <c r="Z152" i="25"/>
  <c r="Z153" i="25"/>
  <c r="Z154" i="25"/>
  <c r="Z155" i="25"/>
  <c r="Z156" i="25"/>
  <c r="Z157" i="25"/>
  <c r="Z158" i="25"/>
  <c r="Z159" i="25"/>
  <c r="Z160" i="25"/>
  <c r="Z161" i="25"/>
  <c r="Z162" i="25"/>
  <c r="X134" i="25"/>
  <c r="X135" i="25"/>
  <c r="X136" i="25"/>
  <c r="X137" i="25"/>
  <c r="X138" i="25"/>
  <c r="X139" i="25"/>
  <c r="X140" i="25"/>
  <c r="X141" i="25"/>
  <c r="X142" i="25"/>
  <c r="X143" i="25"/>
  <c r="X144" i="25"/>
  <c r="X145" i="25"/>
  <c r="X146" i="25"/>
  <c r="X147" i="25"/>
  <c r="X148" i="25"/>
  <c r="X149" i="25"/>
  <c r="X150" i="25"/>
  <c r="X151" i="25"/>
  <c r="X152" i="25"/>
  <c r="X153" i="25"/>
  <c r="X154" i="25"/>
  <c r="X155" i="25"/>
  <c r="X156" i="25"/>
  <c r="X157" i="25"/>
  <c r="X158" i="25"/>
  <c r="X159" i="25"/>
  <c r="X160" i="25"/>
  <c r="X161" i="25"/>
  <c r="X162" i="25"/>
  <c r="AH133" i="25"/>
  <c r="AF133" i="25"/>
  <c r="AD133" i="25"/>
  <c r="AB133" i="25"/>
  <c r="Z133" i="25"/>
  <c r="X133" i="25"/>
  <c r="AH107" i="25"/>
  <c r="AH108" i="25"/>
  <c r="AH109" i="25"/>
  <c r="AH110" i="25"/>
  <c r="AH111" i="25"/>
  <c r="AH112" i="25"/>
  <c r="AH113" i="25"/>
  <c r="AH114" i="25"/>
  <c r="AH115" i="25"/>
  <c r="AH116" i="25"/>
  <c r="AH117" i="25"/>
  <c r="AH118" i="25"/>
  <c r="AH119" i="25"/>
  <c r="AH120" i="25"/>
  <c r="AH121" i="25"/>
  <c r="AH122" i="25"/>
  <c r="AH123" i="25"/>
  <c r="AH124" i="25"/>
  <c r="AH125" i="25"/>
  <c r="AH126" i="25"/>
  <c r="AH127" i="25"/>
  <c r="AH128" i="25"/>
  <c r="AF107" i="25"/>
  <c r="AF108" i="25"/>
  <c r="AF109" i="25"/>
  <c r="AF110" i="25"/>
  <c r="AF111" i="25"/>
  <c r="AF112" i="25"/>
  <c r="AF113" i="25"/>
  <c r="AF114" i="25"/>
  <c r="AF115" i="25"/>
  <c r="AF116" i="25"/>
  <c r="AF117" i="25"/>
  <c r="AF118" i="25"/>
  <c r="AF119" i="25"/>
  <c r="AF120" i="25"/>
  <c r="AF121" i="25"/>
  <c r="AF122" i="25"/>
  <c r="AF123" i="25"/>
  <c r="AF124" i="25"/>
  <c r="AF125" i="25"/>
  <c r="AF126" i="25"/>
  <c r="AF127" i="25"/>
  <c r="AF128" i="25"/>
  <c r="AD107" i="25"/>
  <c r="AD108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Z107" i="25"/>
  <c r="Z108" i="25"/>
  <c r="Z109" i="25"/>
  <c r="Z110" i="25"/>
  <c r="Z111" i="25"/>
  <c r="Z112" i="25"/>
  <c r="Z113" i="25"/>
  <c r="Z114" i="25"/>
  <c r="Z115" i="25"/>
  <c r="Z116" i="25"/>
  <c r="Z117" i="25"/>
  <c r="Z118" i="25"/>
  <c r="Z119" i="25"/>
  <c r="Z120" i="25"/>
  <c r="Z121" i="25"/>
  <c r="Z122" i="25"/>
  <c r="Z123" i="25"/>
  <c r="Z124" i="25"/>
  <c r="Z125" i="25"/>
  <c r="Z126" i="25"/>
  <c r="Z127" i="25"/>
  <c r="Z128" i="25"/>
  <c r="X107" i="25"/>
  <c r="X108" i="25"/>
  <c r="X109" i="25"/>
  <c r="X110" i="25"/>
  <c r="X111" i="25"/>
  <c r="X112" i="25"/>
  <c r="X113" i="25"/>
  <c r="X114" i="25"/>
  <c r="X115" i="25"/>
  <c r="X116" i="25"/>
  <c r="X117" i="25"/>
  <c r="X118" i="25"/>
  <c r="X119" i="25"/>
  <c r="X120" i="25"/>
  <c r="X121" i="25"/>
  <c r="X122" i="25"/>
  <c r="X123" i="25"/>
  <c r="X124" i="25"/>
  <c r="X125" i="25"/>
  <c r="X126" i="25"/>
  <c r="X127" i="25"/>
  <c r="X128" i="25"/>
  <c r="AH106" i="25"/>
  <c r="AF106" i="25"/>
  <c r="AD106" i="25"/>
  <c r="AB106" i="25"/>
  <c r="Z106" i="25"/>
  <c r="X106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AH77" i="25"/>
  <c r="AF77" i="25"/>
  <c r="AD77" i="25"/>
  <c r="AB77" i="25"/>
  <c r="Z77" i="25"/>
  <c r="X77" i="25"/>
  <c r="AH36" i="25"/>
  <c r="AH37" i="25"/>
  <c r="AH38" i="25"/>
  <c r="AH39" i="25"/>
  <c r="AH40" i="25"/>
  <c r="AH41" i="25"/>
  <c r="AH42" i="25"/>
  <c r="AH43" i="25"/>
  <c r="AF36" i="25"/>
  <c r="AF37" i="25"/>
  <c r="AF38" i="25"/>
  <c r="AF39" i="25"/>
  <c r="AF40" i="25"/>
  <c r="AF41" i="25"/>
  <c r="AF42" i="25"/>
  <c r="AF43" i="25"/>
  <c r="AD36" i="25"/>
  <c r="AD37" i="25"/>
  <c r="AD38" i="25"/>
  <c r="AD39" i="25"/>
  <c r="AD40" i="25"/>
  <c r="AD41" i="25"/>
  <c r="AD42" i="25"/>
  <c r="AD43" i="25"/>
  <c r="AB36" i="25"/>
  <c r="AB37" i="25"/>
  <c r="AB38" i="25"/>
  <c r="AB39" i="25"/>
  <c r="AB40" i="25"/>
  <c r="AB41" i="25"/>
  <c r="AB42" i="25"/>
  <c r="AB43" i="25"/>
  <c r="Z36" i="25"/>
  <c r="Z37" i="25"/>
  <c r="Z38" i="25"/>
  <c r="Z39" i="25"/>
  <c r="Z40" i="25"/>
  <c r="Z41" i="25"/>
  <c r="Z42" i="25"/>
  <c r="Z43" i="25"/>
  <c r="X36" i="25"/>
  <c r="X37" i="25"/>
  <c r="X38" i="25"/>
  <c r="X39" i="25"/>
  <c r="X40" i="25"/>
  <c r="X41" i="25"/>
  <c r="X42" i="25"/>
  <c r="X43" i="25"/>
  <c r="AH35" i="25"/>
  <c r="AF35" i="25"/>
  <c r="AD35" i="25"/>
  <c r="AB35" i="25"/>
  <c r="Z35" i="25"/>
  <c r="X35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AH48" i="25"/>
  <c r="AF48" i="25"/>
  <c r="AD48" i="25"/>
  <c r="AB48" i="25"/>
  <c r="Z48" i="25"/>
  <c r="X48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Z6" i="25"/>
  <c r="X6" i="25"/>
  <c r="AD6" i="25"/>
  <c r="AB6" i="25"/>
  <c r="AF6" i="25"/>
  <c r="AH6" i="25"/>
  <c r="AJ134" i="25"/>
  <c r="AJ135" i="25"/>
  <c r="AJ136" i="25"/>
  <c r="AJ137" i="25"/>
  <c r="AJ138" i="25"/>
  <c r="AJ139" i="25"/>
  <c r="AJ140" i="25"/>
  <c r="AJ141" i="25"/>
  <c r="AJ142" i="25"/>
  <c r="AJ143" i="25"/>
  <c r="AJ144" i="25"/>
  <c r="AJ145" i="25"/>
  <c r="AJ146" i="25"/>
  <c r="AJ147" i="25"/>
  <c r="AJ148" i="25"/>
  <c r="AJ149" i="25"/>
  <c r="AJ150" i="25"/>
  <c r="AJ151" i="25"/>
  <c r="AJ152" i="25"/>
  <c r="AJ153" i="25"/>
  <c r="AJ154" i="25"/>
  <c r="AJ155" i="25"/>
  <c r="AJ156" i="25"/>
  <c r="AJ157" i="25"/>
  <c r="AJ158" i="25"/>
  <c r="AJ159" i="25"/>
  <c r="AJ160" i="25"/>
  <c r="AJ161" i="25"/>
  <c r="AJ162" i="25"/>
  <c r="AJ133" i="25"/>
  <c r="AJ107" i="25"/>
  <c r="AJ108" i="25"/>
  <c r="AJ109" i="25"/>
  <c r="AJ110" i="25"/>
  <c r="AJ111" i="25"/>
  <c r="AJ112" i="25"/>
  <c r="AJ113" i="25"/>
  <c r="AJ114" i="25"/>
  <c r="AJ115" i="25"/>
  <c r="AJ116" i="25"/>
  <c r="AJ117" i="25"/>
  <c r="AJ118" i="25"/>
  <c r="AJ119" i="25"/>
  <c r="AJ120" i="25"/>
  <c r="AJ121" i="25"/>
  <c r="AJ122" i="25"/>
  <c r="AJ123" i="25"/>
  <c r="AJ124" i="25"/>
  <c r="AJ125" i="25"/>
  <c r="AJ126" i="25"/>
  <c r="AJ127" i="25"/>
  <c r="AJ128" i="25"/>
  <c r="AJ106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77" i="25"/>
  <c r="AJ36" i="25"/>
  <c r="AJ37" i="25"/>
  <c r="AJ38" i="25"/>
  <c r="AJ39" i="25"/>
  <c r="AJ40" i="25"/>
  <c r="AJ41" i="25"/>
  <c r="AJ42" i="25"/>
  <c r="AJ43" i="25"/>
  <c r="AJ35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48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6" i="25"/>
  <c r="AN17" i="25"/>
  <c r="AN18" i="25"/>
  <c r="AN19" i="25"/>
  <c r="AN20" i="25"/>
  <c r="AN21" i="25"/>
  <c r="F162" i="25"/>
  <c r="A162" i="25"/>
  <c r="F161" i="25"/>
  <c r="A161" i="25"/>
  <c r="F160" i="25"/>
  <c r="A160" i="25"/>
  <c r="F159" i="25"/>
  <c r="A159" i="25"/>
  <c r="F158" i="25"/>
  <c r="A158" i="25"/>
  <c r="F157" i="25"/>
  <c r="A157" i="25"/>
  <c r="F156" i="25"/>
  <c r="A156" i="25"/>
  <c r="F155" i="25"/>
  <c r="A155" i="25"/>
  <c r="F154" i="25"/>
  <c r="A154" i="25"/>
  <c r="F153" i="25"/>
  <c r="A153" i="25"/>
  <c r="F152" i="25"/>
  <c r="A152" i="25"/>
  <c r="F151" i="25"/>
  <c r="A151" i="25"/>
  <c r="F150" i="25"/>
  <c r="A150" i="25"/>
  <c r="F149" i="25"/>
  <c r="A149" i="25"/>
  <c r="F148" i="25"/>
  <c r="A148" i="25"/>
  <c r="F147" i="25"/>
  <c r="A147" i="25"/>
  <c r="F146" i="25"/>
  <c r="A146" i="25"/>
  <c r="F145" i="25"/>
  <c r="A145" i="25"/>
  <c r="F144" i="25"/>
  <c r="A144" i="25"/>
  <c r="F143" i="25"/>
  <c r="A143" i="25"/>
  <c r="F142" i="25"/>
  <c r="A142" i="25"/>
  <c r="F141" i="25"/>
  <c r="A141" i="25"/>
  <c r="F140" i="25"/>
  <c r="A140" i="25"/>
  <c r="F139" i="25"/>
  <c r="A139" i="25"/>
  <c r="F138" i="25"/>
  <c r="A138" i="25"/>
  <c r="F137" i="25"/>
  <c r="A137" i="25"/>
  <c r="F136" i="25"/>
  <c r="A136" i="25"/>
  <c r="F135" i="25"/>
  <c r="A135" i="25"/>
  <c r="F134" i="25"/>
  <c r="A134" i="25"/>
  <c r="F133" i="25"/>
  <c r="A133" i="25"/>
  <c r="F128" i="25"/>
  <c r="A128" i="25"/>
  <c r="F127" i="25"/>
  <c r="A127" i="25"/>
  <c r="F126" i="25"/>
  <c r="A126" i="25"/>
  <c r="F125" i="25"/>
  <c r="A125" i="25"/>
  <c r="F124" i="25"/>
  <c r="A124" i="25"/>
  <c r="F123" i="25"/>
  <c r="A123" i="25"/>
  <c r="F122" i="25"/>
  <c r="A122" i="25"/>
  <c r="F121" i="25"/>
  <c r="A121" i="25"/>
  <c r="F120" i="25"/>
  <c r="A120" i="25"/>
  <c r="F119" i="25"/>
  <c r="A119" i="25"/>
  <c r="F118" i="25"/>
  <c r="A118" i="25"/>
  <c r="F117" i="25"/>
  <c r="A117" i="25"/>
  <c r="F116" i="25"/>
  <c r="A116" i="25"/>
  <c r="F115" i="25"/>
  <c r="A115" i="25"/>
  <c r="F114" i="25"/>
  <c r="A114" i="25"/>
  <c r="F113" i="25"/>
  <c r="A113" i="25"/>
  <c r="F112" i="25"/>
  <c r="A112" i="25"/>
  <c r="F111" i="25"/>
  <c r="A111" i="25"/>
  <c r="F110" i="25"/>
  <c r="A110" i="25"/>
  <c r="F109" i="25"/>
  <c r="A109" i="25"/>
  <c r="F108" i="25"/>
  <c r="A108" i="25"/>
  <c r="F107" i="25"/>
  <c r="A107" i="25"/>
  <c r="F106" i="25"/>
  <c r="A106" i="25"/>
  <c r="F101" i="25"/>
  <c r="A101" i="25"/>
  <c r="F100" i="25"/>
  <c r="A100" i="25"/>
  <c r="F99" i="25"/>
  <c r="A99" i="25"/>
  <c r="F98" i="25"/>
  <c r="A98" i="25"/>
  <c r="F97" i="25"/>
  <c r="A97" i="25"/>
  <c r="F96" i="25"/>
  <c r="A96" i="25"/>
  <c r="F95" i="25"/>
  <c r="A95" i="25"/>
  <c r="F94" i="25"/>
  <c r="A94" i="25"/>
  <c r="F93" i="25"/>
  <c r="A93" i="25"/>
  <c r="F92" i="25"/>
  <c r="A92" i="25"/>
  <c r="F91" i="25"/>
  <c r="A91" i="25"/>
  <c r="F90" i="25"/>
  <c r="A90" i="25"/>
  <c r="F89" i="25"/>
  <c r="A89" i="25"/>
  <c r="F88" i="25"/>
  <c r="A88" i="25"/>
  <c r="F87" i="25"/>
  <c r="A87" i="25"/>
  <c r="F86" i="25"/>
  <c r="A86" i="25"/>
  <c r="F85" i="25"/>
  <c r="A85" i="25"/>
  <c r="F84" i="25"/>
  <c r="A84" i="25"/>
  <c r="F83" i="25"/>
  <c r="A83" i="25"/>
  <c r="F82" i="25"/>
  <c r="A82" i="25"/>
  <c r="F81" i="25"/>
  <c r="A81" i="25"/>
  <c r="F80" i="25"/>
  <c r="A80" i="25"/>
  <c r="F79" i="25"/>
  <c r="A79" i="25"/>
  <c r="F78" i="25"/>
  <c r="A78" i="25"/>
  <c r="F77" i="25"/>
  <c r="A77" i="25"/>
  <c r="F43" i="25"/>
  <c r="A43" i="25"/>
  <c r="F42" i="25"/>
  <c r="A42" i="25"/>
  <c r="F41" i="25"/>
  <c r="A41" i="25"/>
  <c r="F40" i="25"/>
  <c r="A40" i="25"/>
  <c r="F39" i="25"/>
  <c r="A39" i="25"/>
  <c r="F38" i="25"/>
  <c r="A38" i="25"/>
  <c r="F37" i="25"/>
  <c r="A37" i="25"/>
  <c r="F36" i="25"/>
  <c r="A36" i="25"/>
  <c r="F35" i="25"/>
  <c r="A35" i="25"/>
  <c r="F72" i="25"/>
  <c r="A72" i="25"/>
  <c r="F71" i="25"/>
  <c r="A71" i="25"/>
  <c r="F70" i="25"/>
  <c r="A70" i="25"/>
  <c r="F69" i="25"/>
  <c r="A69" i="25"/>
  <c r="F68" i="25"/>
  <c r="A68" i="25"/>
  <c r="F67" i="25"/>
  <c r="A67" i="25"/>
  <c r="F66" i="25"/>
  <c r="A66" i="25"/>
  <c r="F65" i="25"/>
  <c r="A65" i="25"/>
  <c r="F64" i="25"/>
  <c r="A64" i="25"/>
  <c r="F63" i="25"/>
  <c r="A63" i="25"/>
  <c r="F62" i="25"/>
  <c r="A62" i="25"/>
  <c r="F61" i="25"/>
  <c r="A61" i="25"/>
  <c r="F60" i="25"/>
  <c r="A60" i="25"/>
  <c r="F59" i="25"/>
  <c r="A59" i="25"/>
  <c r="F58" i="25"/>
  <c r="A58" i="25"/>
  <c r="F57" i="25"/>
  <c r="A57" i="25"/>
  <c r="F56" i="25"/>
  <c r="A56" i="25"/>
  <c r="F55" i="25"/>
  <c r="A55" i="25"/>
  <c r="F54" i="25"/>
  <c r="A54" i="25"/>
  <c r="F53" i="25"/>
  <c r="A53" i="25"/>
  <c r="F52" i="25"/>
  <c r="A52" i="25"/>
  <c r="F51" i="25"/>
  <c r="A51" i="25"/>
  <c r="F50" i="25"/>
  <c r="A50" i="25"/>
  <c r="F49" i="25"/>
  <c r="A49" i="25"/>
  <c r="F48" i="25"/>
  <c r="A48" i="25"/>
  <c r="F30" i="25"/>
  <c r="A30" i="25"/>
  <c r="B30" i="25"/>
  <c r="F29" i="25"/>
  <c r="A29" i="25"/>
  <c r="B29" i="25"/>
  <c r="F28" i="25"/>
  <c r="A28" i="25"/>
  <c r="B28" i="25"/>
  <c r="F27" i="25"/>
  <c r="A27" i="25"/>
  <c r="B27" i="25"/>
  <c r="F26" i="25"/>
  <c r="A26" i="25"/>
  <c r="B26" i="25"/>
  <c r="F25" i="25"/>
  <c r="A25" i="25"/>
  <c r="B25" i="25"/>
  <c r="F7" i="25"/>
  <c r="A7" i="25"/>
  <c r="F8" i="25"/>
  <c r="A8" i="25"/>
  <c r="F9" i="25"/>
  <c r="A9" i="25"/>
  <c r="F10" i="25"/>
  <c r="A10" i="25"/>
  <c r="F11" i="25"/>
  <c r="A11" i="25"/>
  <c r="F12" i="25"/>
  <c r="A12" i="25"/>
  <c r="F13" i="25"/>
  <c r="A13" i="25"/>
  <c r="F14" i="25"/>
  <c r="A14" i="25"/>
  <c r="F15" i="25"/>
  <c r="A15" i="25"/>
  <c r="F16" i="25"/>
  <c r="A16" i="25"/>
  <c r="F17" i="25"/>
  <c r="A17" i="25"/>
  <c r="F18" i="25"/>
  <c r="A18" i="25"/>
  <c r="F19" i="25"/>
  <c r="A19" i="25"/>
  <c r="F20" i="25"/>
  <c r="A20" i="25"/>
  <c r="F21" i="25"/>
  <c r="A21" i="25"/>
  <c r="F22" i="25"/>
  <c r="A22" i="25"/>
  <c r="F23" i="25"/>
  <c r="A23" i="25"/>
  <c r="F24" i="25"/>
  <c r="A24" i="25"/>
  <c r="F6" i="25"/>
  <c r="A6" i="25"/>
  <c r="AN15" i="25"/>
  <c r="M83" i="25"/>
  <c r="AN16" i="25"/>
  <c r="AN8" i="25"/>
  <c r="AN9" i="25"/>
  <c r="G8" i="25"/>
  <c r="AN10" i="25"/>
  <c r="G80" i="25"/>
  <c r="AN11" i="25"/>
  <c r="G36" i="25"/>
  <c r="AN12" i="25"/>
  <c r="AN13" i="25"/>
  <c r="AN14" i="25"/>
  <c r="G162" i="25"/>
  <c r="G3" i="47"/>
  <c r="G4" i="47"/>
  <c r="U24" i="47"/>
  <c r="U25" i="47"/>
  <c r="D24" i="47"/>
  <c r="D25" i="47"/>
  <c r="AL6" i="47"/>
  <c r="AV29" i="27"/>
  <c r="AV28" i="27"/>
  <c r="AV27" i="27"/>
  <c r="AV26" i="27"/>
  <c r="AV25" i="27"/>
  <c r="AV24" i="27"/>
  <c r="AV23" i="27"/>
  <c r="AV22" i="27"/>
  <c r="AV21" i="27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6" i="25"/>
  <c r="I9" i="46"/>
  <c r="D2" i="46"/>
  <c r="A15" i="46"/>
  <c r="A16" i="46"/>
  <c r="A14" i="46"/>
  <c r="A13" i="46"/>
  <c r="U11" i="27"/>
  <c r="A4" i="27"/>
  <c r="A2" i="27"/>
  <c r="K6" i="27"/>
  <c r="F2" i="25"/>
  <c r="F1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01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41" i="25"/>
  <c r="G30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16" i="25"/>
  <c r="G24" i="25"/>
  <c r="G17" i="25"/>
  <c r="G20" i="25"/>
  <c r="G21" i="25"/>
  <c r="G23" i="25"/>
  <c r="G19" i="25"/>
  <c r="G15" i="25"/>
  <c r="G22" i="25"/>
  <c r="G18" i="25"/>
  <c r="G25" i="25"/>
  <c r="G26" i="25"/>
  <c r="G27" i="25"/>
  <c r="G28" i="25"/>
  <c r="G29" i="25"/>
  <c r="AL7" i="47"/>
  <c r="AL8" i="47"/>
  <c r="AL9" i="47"/>
  <c r="AL10" i="47"/>
  <c r="AL11" i="47"/>
  <c r="M9" i="25"/>
  <c r="G82" i="25"/>
  <c r="G55" i="25"/>
  <c r="K11" i="25"/>
  <c r="G83" i="25"/>
  <c r="M36" i="25"/>
  <c r="G7" i="25"/>
  <c r="K12" i="25"/>
  <c r="G56" i="25"/>
  <c r="K36" i="25"/>
  <c r="M35" i="25"/>
  <c r="K53" i="25"/>
  <c r="G12" i="25"/>
  <c r="M10" i="25"/>
  <c r="G39" i="25"/>
  <c r="G52" i="25"/>
  <c r="G51" i="25"/>
  <c r="K38" i="25"/>
  <c r="G38" i="25"/>
  <c r="F5" i="47"/>
  <c r="W8" i="47"/>
  <c r="W7" i="47"/>
  <c r="K40" i="25"/>
  <c r="M37" i="25"/>
  <c r="G6" i="25"/>
  <c r="A11" i="47"/>
  <c r="E13" i="47"/>
  <c r="M77" i="25"/>
  <c r="G40" i="25"/>
  <c r="G37" i="25"/>
  <c r="G78" i="25"/>
  <c r="G10" i="25"/>
  <c r="K79" i="25"/>
  <c r="G43" i="25"/>
  <c r="G81" i="25"/>
  <c r="G84" i="25"/>
  <c r="M11" i="25"/>
  <c r="M12" i="25"/>
  <c r="M79" i="25"/>
  <c r="K37" i="25"/>
  <c r="M81" i="25"/>
  <c r="G49" i="25"/>
  <c r="K54" i="25"/>
  <c r="AD8" i="47"/>
  <c r="M54" i="25"/>
  <c r="G85" i="25"/>
  <c r="K42" i="25"/>
  <c r="M49" i="25"/>
  <c r="M39" i="25"/>
  <c r="K81" i="25"/>
  <c r="G13" i="25"/>
  <c r="M53" i="25"/>
  <c r="K85" i="25"/>
  <c r="K39" i="25"/>
  <c r="K48" i="25"/>
  <c r="G35" i="25"/>
  <c r="K49" i="25"/>
  <c r="G11" i="25"/>
  <c r="M14" i="25"/>
  <c r="K50" i="25"/>
  <c r="M48" i="25"/>
  <c r="K13" i="25"/>
  <c r="M84" i="25"/>
  <c r="K55" i="25"/>
  <c r="M56" i="25"/>
  <c r="K56" i="25"/>
  <c r="K51" i="25"/>
  <c r="G14" i="25"/>
  <c r="K9" i="25"/>
  <c r="K14" i="25"/>
  <c r="M52" i="25"/>
  <c r="M51" i="25"/>
  <c r="M42" i="25"/>
  <c r="K78" i="25"/>
  <c r="M78" i="25"/>
  <c r="M82" i="25"/>
  <c r="G54" i="25"/>
  <c r="K10" i="25"/>
  <c r="G42" i="25"/>
  <c r="K7" i="25"/>
  <c r="M13" i="25"/>
  <c r="M6" i="25"/>
  <c r="F7" i="47"/>
  <c r="K43" i="25"/>
  <c r="M80" i="25"/>
  <c r="M85" i="25"/>
  <c r="G50" i="25"/>
  <c r="K82" i="25"/>
  <c r="M8" i="25"/>
  <c r="G53" i="25"/>
  <c r="K8" i="25"/>
  <c r="K83" i="25"/>
  <c r="K84" i="25"/>
  <c r="M40" i="25"/>
  <c r="K6" i="25"/>
  <c r="R11" i="47"/>
  <c r="V13" i="47"/>
  <c r="M7" i="25"/>
  <c r="K52" i="25"/>
  <c r="M43" i="25"/>
  <c r="G79" i="25"/>
  <c r="K35" i="25"/>
  <c r="M38" i="25"/>
  <c r="K41" i="25"/>
  <c r="G48" i="25"/>
  <c r="G77" i="25"/>
  <c r="K80" i="25"/>
  <c r="M50" i="25"/>
  <c r="M55" i="25"/>
  <c r="G9" i="25"/>
  <c r="K77" i="25"/>
  <c r="M41" i="25"/>
  <c r="W5" i="47"/>
  <c r="W6" i="47"/>
  <c r="W9" i="47"/>
  <c r="AB22" i="27"/>
  <c r="AD22" i="27"/>
  <c r="X23" i="27"/>
  <c r="AB27" i="27"/>
  <c r="AD27" i="27"/>
  <c r="X22" i="27"/>
  <c r="AE28" i="27"/>
  <c r="AG27" i="27"/>
  <c r="AE21" i="27"/>
  <c r="AB26" i="27"/>
  <c r="AD26" i="27"/>
  <c r="AG23" i="27"/>
  <c r="AE26" i="27"/>
  <c r="Z27" i="27"/>
  <c r="Z26" i="27"/>
  <c r="Z21" i="27"/>
  <c r="AE22" i="27"/>
  <c r="X25" i="27"/>
  <c r="AB23" i="27"/>
  <c r="AD23" i="27"/>
  <c r="X29" i="27"/>
  <c r="Z24" i="27"/>
  <c r="AE29" i="27"/>
  <c r="AB28" i="27"/>
  <c r="AD28" i="27"/>
  <c r="V28" i="27"/>
  <c r="V27" i="27"/>
  <c r="AG21" i="27"/>
  <c r="V25" i="27"/>
  <c r="Z22" i="27"/>
  <c r="AB21" i="27"/>
  <c r="AD21" i="27"/>
  <c r="AG24" i="27"/>
  <c r="V23" i="27"/>
  <c r="AE24" i="27"/>
  <c r="AB29" i="27"/>
  <c r="AD29" i="27"/>
  <c r="V21" i="27"/>
  <c r="Z23" i="27"/>
  <c r="AC23" i="27"/>
  <c r="X21" i="27"/>
  <c r="Z25" i="27"/>
  <c r="X28" i="27"/>
  <c r="AB24" i="27"/>
  <c r="AD24" i="27"/>
  <c r="X27" i="27"/>
  <c r="AB25" i="27"/>
  <c r="AD25" i="27"/>
  <c r="AE23" i="27"/>
  <c r="AG25" i="27"/>
  <c r="AG29" i="27"/>
  <c r="V24" i="27"/>
  <c r="V22" i="27"/>
  <c r="AG28" i="27"/>
  <c r="X24" i="27"/>
  <c r="AE27" i="27"/>
  <c r="AH27" i="27"/>
  <c r="V26" i="27"/>
  <c r="AG22" i="27"/>
  <c r="Z28" i="27"/>
  <c r="V29" i="27"/>
  <c r="X26" i="27"/>
  <c r="AG26" i="27"/>
  <c r="Z29" i="27"/>
  <c r="AE25" i="27"/>
  <c r="AH26" i="27"/>
  <c r="AC26" i="27"/>
  <c r="AH22" i="27"/>
  <c r="U23" i="27"/>
  <c r="AC22" i="27"/>
  <c r="AC29" i="27"/>
  <c r="U24" i="27"/>
  <c r="U26" i="27"/>
  <c r="U22" i="27"/>
  <c r="AH28" i="27"/>
  <c r="AH21" i="27"/>
  <c r="AH24" i="27"/>
  <c r="AC27" i="27"/>
  <c r="U29" i="27"/>
  <c r="AH23" i="27"/>
  <c r="Y24" i="27"/>
  <c r="Y27" i="27"/>
  <c r="Y28" i="27"/>
  <c r="U25" i="27"/>
  <c r="U28" i="27"/>
  <c r="Y21" i="27"/>
  <c r="AH25" i="27"/>
  <c r="U21" i="27"/>
  <c r="Y26" i="27"/>
  <c r="AC28" i="27"/>
  <c r="U27" i="27"/>
  <c r="AC21" i="27"/>
  <c r="Y29" i="27"/>
  <c r="Y22" i="27"/>
  <c r="AC25" i="27"/>
  <c r="AH29" i="27"/>
  <c r="Y25" i="27"/>
  <c r="Y23" i="27"/>
  <c r="AC24" i="27"/>
  <c r="AN28" i="27"/>
  <c r="AM23" i="27"/>
  <c r="AT21" i="27"/>
  <c r="AU28" i="27"/>
  <c r="AS26" i="27"/>
  <c r="AM24" i="27"/>
  <c r="AO29" i="27"/>
  <c r="AM27" i="27"/>
  <c r="AP21" i="27"/>
  <c r="AQ27" i="27"/>
  <c r="AR29" i="27"/>
  <c r="AP25" i="27"/>
  <c r="AQ21" i="27"/>
  <c r="AS28" i="27"/>
  <c r="AM26" i="27"/>
  <c r="AP26" i="27"/>
  <c r="AR21" i="27"/>
  <c r="AU21" i="27"/>
  <c r="AS21" i="27"/>
  <c r="AS22" i="27"/>
  <c r="AQ24" i="27"/>
  <c r="AS25" i="27"/>
  <c r="AQ29" i="27"/>
  <c r="AS24" i="27"/>
  <c r="AP27" i="27"/>
  <c r="AR25" i="27"/>
  <c r="AO27" i="27"/>
  <c r="AU25" i="27"/>
  <c r="AP28" i="27"/>
  <c r="AT27" i="27"/>
  <c r="AR24" i="27"/>
  <c r="AM25" i="27"/>
  <c r="AM29" i="27"/>
  <c r="AS29" i="27"/>
  <c r="AR28" i="27"/>
  <c r="AR27" i="27"/>
  <c r="AT25" i="27"/>
  <c r="AT24" i="27"/>
  <c r="AM28" i="27"/>
  <c r="AT26" i="27"/>
  <c r="AN29" i="27"/>
  <c r="AU24" i="27"/>
  <c r="AU27" i="27"/>
  <c r="AT29" i="27"/>
  <c r="AP23" i="27"/>
  <c r="AQ28" i="27"/>
  <c r="AN25" i="27"/>
  <c r="AP29" i="27"/>
  <c r="AR23" i="27"/>
  <c r="AO22" i="27"/>
  <c r="AN23" i="27"/>
  <c r="AS23" i="27"/>
  <c r="AO21" i="27"/>
  <c r="AP22" i="27"/>
  <c r="AO24" i="27"/>
  <c r="AM22" i="27"/>
  <c r="AN27" i="27"/>
  <c r="AQ23" i="27"/>
  <c r="AN21" i="27"/>
  <c r="AO25" i="27"/>
  <c r="AT23" i="27"/>
  <c r="AO26" i="27"/>
  <c r="AQ26" i="27"/>
  <c r="AU26" i="27"/>
  <c r="AU22" i="27"/>
  <c r="AQ22" i="27"/>
  <c r="AN24" i="27"/>
  <c r="AO28" i="27"/>
  <c r="AU23" i="27"/>
  <c r="AT22" i="27"/>
  <c r="AR22" i="27"/>
  <c r="AN26" i="27"/>
  <c r="AL29" i="27"/>
  <c r="AL21" i="27"/>
  <c r="AL24" i="27"/>
  <c r="AL23" i="27"/>
  <c r="AL27" i="27"/>
  <c r="AL26" i="27"/>
  <c r="AL28" i="27"/>
  <c r="AL25" i="27"/>
  <c r="AL22" i="27"/>
  <c r="AK27" i="27"/>
  <c r="S27" i="27"/>
  <c r="AK21" i="27"/>
  <c r="S21" i="27"/>
  <c r="L21" i="27"/>
  <c r="AK25" i="27"/>
  <c r="AI25" i="27"/>
  <c r="AK22" i="27"/>
  <c r="S22" i="27"/>
  <c r="AK29" i="27"/>
  <c r="S29" i="27"/>
  <c r="AK28" i="27"/>
  <c r="AI28" i="27"/>
  <c r="AK26" i="27"/>
  <c r="S26" i="27"/>
  <c r="AK24" i="27"/>
  <c r="AI24" i="27"/>
  <c r="AK23" i="27"/>
  <c r="S23" i="27"/>
  <c r="AI27" i="27"/>
  <c r="AI29" i="27"/>
  <c r="A21" i="27"/>
  <c r="J21" i="27"/>
  <c r="B21" i="27"/>
  <c r="N21" i="27"/>
  <c r="AI21" i="27"/>
  <c r="D21" i="27"/>
  <c r="C21" i="27"/>
  <c r="H21" i="27"/>
  <c r="K21" i="27"/>
  <c r="F21" i="27"/>
  <c r="O21" i="27"/>
  <c r="AI22" i="27"/>
  <c r="D22" i="27"/>
  <c r="H22" i="27"/>
  <c r="O22" i="27"/>
  <c r="AI26" i="27"/>
  <c r="S25" i="27"/>
  <c r="S24" i="27"/>
  <c r="O27" i="27"/>
  <c r="S28" i="27"/>
  <c r="AI23" i="27"/>
  <c r="C23" i="27"/>
  <c r="N22" i="27"/>
  <c r="K22" i="27"/>
  <c r="F22" i="27"/>
  <c r="C22" i="27"/>
  <c r="J22" i="27"/>
  <c r="D23" i="27"/>
  <c r="L23" i="27"/>
  <c r="A22" i="27"/>
  <c r="B23" i="27"/>
  <c r="N23" i="27"/>
  <c r="A23" i="27"/>
  <c r="J23" i="27"/>
  <c r="O23" i="27"/>
  <c r="H23" i="27"/>
  <c r="K23" i="27"/>
  <c r="L22" i="27"/>
  <c r="B22" i="27"/>
  <c r="F23" i="27"/>
  <c r="H25" i="27"/>
  <c r="F29" i="27"/>
  <c r="N24" i="27"/>
  <c r="A26" i="27"/>
  <c r="J24" i="27"/>
  <c r="L25" i="27"/>
  <c r="A24" i="27"/>
  <c r="N27" i="27"/>
  <c r="C26" i="27"/>
  <c r="B24" i="27"/>
  <c r="K27" i="27"/>
  <c r="L27" i="27"/>
  <c r="C27" i="27"/>
  <c r="F27" i="27"/>
  <c r="F25" i="27"/>
  <c r="F24" i="27"/>
  <c r="J27" i="27"/>
  <c r="O29" i="27"/>
  <c r="H29" i="27"/>
  <c r="F28" i="27"/>
  <c r="C25" i="27"/>
  <c r="F26" i="27"/>
  <c r="O25" i="27"/>
  <c r="A29" i="27"/>
  <c r="B25" i="27"/>
  <c r="J26" i="27"/>
  <c r="H24" i="27"/>
  <c r="H28" i="27"/>
  <c r="N28" i="27"/>
  <c r="A28" i="27"/>
  <c r="K28" i="27"/>
  <c r="B28" i="27"/>
  <c r="K24" i="27"/>
  <c r="O26" i="27"/>
  <c r="N26" i="27"/>
  <c r="O24" i="27"/>
  <c r="D25" i="27"/>
  <c r="L29" i="27"/>
  <c r="A25" i="27"/>
  <c r="L26" i="27"/>
  <c r="B27" i="27"/>
  <c r="A27" i="27"/>
  <c r="K25" i="27"/>
  <c r="D26" i="27"/>
  <c r="N25" i="27"/>
  <c r="D24" i="27"/>
  <c r="H26" i="27"/>
  <c r="K26" i="27"/>
  <c r="C24" i="27"/>
  <c r="B26" i="27"/>
  <c r="J25" i="27"/>
  <c r="H27" i="27"/>
  <c r="D27" i="27"/>
  <c r="D28" i="27"/>
  <c r="O28" i="27"/>
  <c r="K29" i="27"/>
  <c r="C29" i="27"/>
  <c r="L28" i="27"/>
  <c r="J29" i="27"/>
  <c r="B29" i="27"/>
  <c r="C28" i="27"/>
  <c r="N29" i="27"/>
  <c r="J28" i="27"/>
  <c r="D29" i="27"/>
  <c r="L24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<sst xmlns="http://schemas.openxmlformats.org/spreadsheetml/2006/main" count="1476" uniqueCount="158">
  <si>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</si>
  <si>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</si>
  <si>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</si>
  <si>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</si>
  <si>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</si>
  <si>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</si>
  <si>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</si>
  <si>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</si>
  <si>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</si>
  <si>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</si>
  <si>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</si>
  <si>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</si>
  <si>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</si>
  <si>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</si>
  <si>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</si>
  <si>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</si>
  <si>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</si>
  <si>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</si>
  <si>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</si>
  <si>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</si>
  <si>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</si>
  <si>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</si>
  <si>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</si>
  <si>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</si>
  <si>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</si>
  <si>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</si>
  <si>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</si>
  <si>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</si>
  <si>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</si>
  <si>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</si>
  <si>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</si>
  <si>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</si>
  <si>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</si>
  <si>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</si>
  <si>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</si>
  <si>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</si>
  <si>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</si>
  <si>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</si>
  <si>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</si>
  <si>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</si>
  <si>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</si>
  <si>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</si>
  <si>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</si>
  <si>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</si>
  <si>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</si>
  <si>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</si>
  <si>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</si>
  <si>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</si>
  <si>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</si>
  <si>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</si>
  <si>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</si>
  <si>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</si>
  <si>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</si>
  <si>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</si>
  <si>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</si>
  <si>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</si>
  <si>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</si>
  <si>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</si>
  <si>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</si>
  <si>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</si>
  <si>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</si>
  <si>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</si>
  <si>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</si>
  <si>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</si>
  <si>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</si>
  <si>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</si>
  <si>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</si>
  <si>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</si>
  <si>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</si>
  <si>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</si>
  <si>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</si>
  <si>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</si>
  <si>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</si>
  <si>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</si>
  <si>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</si>
  <si>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anschl.</t>
  </si>
  <si>
    <t>C</t>
  </si>
  <si>
    <t>Vorrunde Gruppe A</t>
  </si>
  <si>
    <t>Vorrunde</t>
  </si>
  <si>
    <t>1. Spieltag</t>
  </si>
  <si>
    <t>3. Spieltag</t>
  </si>
  <si>
    <t>5. Spieltag</t>
  </si>
  <si>
    <t>Team 9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</si>
  <si>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</si>
  <si>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</si>
  <si>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</si>
  <si>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</si>
  <si>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</si>
  <si>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</si>
  <si>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</si>
  <si>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</si>
  <si>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</si>
  <si>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</si>
  <si>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</si>
  <si>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</si>
  <si>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</si>
  <si>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</si>
  <si>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</si>
  <si>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</si>
  <si>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</si>
  <si>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</si>
  <si>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</si>
  <si>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</si>
  <si>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</si>
  <si>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</si>
  <si>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</si>
  <si>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</si>
  <si>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</si>
  <si>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</si>
  <si>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</si>
  <si>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</si>
  <si>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</si>
  <si>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</si>
  <si>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</si>
  <si>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</si>
  <si>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</si>
  <si>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</si>
  <si>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</si>
  <si>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</si>
  <si>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</si>
  <si>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</si>
  <si>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</si>
  <si>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</si>
  <si>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</si>
  <si>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</si>
  <si>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</si>
  <si>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</si>
  <si>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</si>
  <si>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</si>
  <si>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</si>
  <si>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</si>
  <si>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</si>
  <si>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</si>
  <si>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</si>
  <si>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</si>
  <si>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F-Ort</t>
  </si>
  <si>
    <t>F-Straße</t>
  </si>
  <si>
    <t>Team 1</t>
  </si>
  <si>
    <t>Team 2</t>
  </si>
  <si>
    <t>Team 3</t>
  </si>
  <si>
    <t>Team 6</t>
  </si>
  <si>
    <t>Team 5</t>
  </si>
  <si>
    <t>Team 4</t>
  </si>
  <si>
    <t>Team 7</t>
  </si>
  <si>
    <t>Team 8</t>
  </si>
  <si>
    <t>ohne</t>
  </si>
  <si>
    <t>Ort</t>
  </si>
  <si>
    <t>Straße</t>
  </si>
  <si>
    <t>4. Platz Vorrunde</t>
  </si>
  <si>
    <t>5. Platz Vorrunde</t>
  </si>
  <si>
    <t>6. Platz Vorrunde</t>
  </si>
  <si>
    <t>1. Platz Vorrunde</t>
  </si>
  <si>
    <t>2. Platz  Vorrunde</t>
  </si>
  <si>
    <t>3. Platz Vorrunde</t>
  </si>
  <si>
    <t>2. Platz Vorrunde</t>
  </si>
  <si>
    <t>7. Platz Vorrunde</t>
  </si>
  <si>
    <t>8. Platz Vorrunde</t>
  </si>
  <si>
    <t>9. Platz Vorrunde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</si>
</sst>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7" formatCode="d/\ mmmm\ yyyy"/>
    <numFmt numFmtId="172" formatCode="h:mm:ss"/>
    <numFmt numFmtId="174" formatCode="0.000"/>
    <numFmt numFmtId="176" formatCode="0.00000000"/>
    <numFmt numFmtId="177" formatCode="h:mm;@"/>
  </numFmts>
  <fonts count="38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8"/>
      <color indexed="81"/>
      <name val="Tahoma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6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72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74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72" fontId="1" fillId="3" borderId="3" xfId="0" applyNumberFormat="1" applyFont="1" applyFill="1" applyBorder="1" applyAlignment="1" applyProtection="1">
      <alignment horizontal="center"/>
      <protection locked="0"/>
    </xf>
    <xf numFmtId="172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4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74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76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6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5" xfId="2" applyBorder="1" applyProtection="1"/>
    <xf numFmtId="0" fontId="4" fillId="0" borderId="36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7" xfId="2" applyBorder="1" applyProtection="1"/>
    <xf numFmtId="0" fontId="1" fillId="0" borderId="38" xfId="2" applyFont="1" applyBorder="1" applyAlignment="1" applyProtection="1">
      <alignment vertical="center"/>
    </xf>
    <xf numFmtId="0" fontId="1" fillId="0" borderId="39" xfId="2" applyFont="1" applyBorder="1" applyAlignment="1" applyProtection="1">
      <alignment vertical="center"/>
    </xf>
    <xf numFmtId="0" fontId="4" fillId="0" borderId="40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7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1" fillId="0" borderId="42" xfId="2" applyFont="1" applyBorder="1" applyAlignment="1" applyProtection="1">
      <alignment vertical="center"/>
    </xf>
    <xf numFmtId="0" fontId="4" fillId="0" borderId="43" xfId="2" applyBorder="1" applyAlignment="1" applyProtection="1">
      <alignment vertical="center"/>
    </xf>
    <xf numFmtId="0" fontId="4" fillId="0" borderId="44" xfId="2" applyBorder="1" applyProtection="1"/>
    <xf numFmtId="0" fontId="4" fillId="0" borderId="45" xfId="2" applyBorder="1" applyProtection="1"/>
    <xf numFmtId="0" fontId="4" fillId="4" borderId="45" xfId="2" applyFont="1" applyFill="1" applyBorder="1" applyProtection="1"/>
    <xf numFmtId="0" fontId="4" fillId="0" borderId="46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39" xfId="2" applyBorder="1" applyProtection="1"/>
    <xf numFmtId="0" fontId="4" fillId="0" borderId="40" xfId="2" applyBorder="1" applyProtection="1"/>
    <xf numFmtId="0" fontId="4" fillId="10" borderId="47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48" xfId="2" applyBorder="1" applyProtection="1"/>
    <xf numFmtId="0" fontId="4" fillId="0" borderId="49" xfId="2" applyBorder="1" applyProtection="1"/>
    <xf numFmtId="0" fontId="4" fillId="4" borderId="49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0" xfId="2" applyBorder="1" applyProtection="1">
      <protection locked="0"/>
    </xf>
    <xf numFmtId="0" fontId="37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49" xfId="2" applyBorder="1" applyProtection="1">
      <protection locked="0"/>
    </xf>
    <xf numFmtId="0" fontId="4" fillId="4" borderId="49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49" xfId="2" applyFont="1" applyBorder="1" applyAlignment="1" applyProtection="1">
      <alignment horizontal="left"/>
      <protection locked="0"/>
    </xf>
    <xf numFmtId="0" fontId="4" fillId="8" borderId="49" xfId="2" applyFill="1" applyBorder="1" applyProtection="1">
      <protection locked="0"/>
    </xf>
    <xf numFmtId="0" fontId="2" fillId="0" borderId="49" xfId="2" applyFont="1" applyBorder="1" applyAlignment="1" applyProtection="1">
      <alignment horizontal="left"/>
      <protection locked="0"/>
    </xf>
    <xf numFmtId="0" fontId="2" fillId="0" borderId="49" xfId="2" applyFont="1" applyBorder="1" applyProtection="1">
      <protection locked="0"/>
    </xf>
    <xf numFmtId="0" fontId="4" fillId="8" borderId="51" xfId="2" applyFill="1" applyBorder="1" applyProtection="1">
      <protection locked="0"/>
    </xf>
    <xf numFmtId="0" fontId="2" fillId="0" borderId="52" xfId="2" applyFont="1" applyBorder="1" applyProtection="1">
      <protection locked="0"/>
    </xf>
    <xf numFmtId="0" fontId="4" fillId="0" borderId="53" xfId="2" applyBorder="1" applyProtection="1"/>
    <xf numFmtId="0" fontId="4" fillId="0" borderId="54" xfId="2" applyBorder="1" applyProtection="1"/>
    <xf numFmtId="0" fontId="4" fillId="4" borderId="54" xfId="2" applyFont="1" applyFill="1" applyBorder="1" applyProtection="1"/>
    <xf numFmtId="0" fontId="4" fillId="0" borderId="55" xfId="2" applyBorder="1" applyProtection="1"/>
    <xf numFmtId="0" fontId="4" fillId="0" borderId="56" xfId="2" applyBorder="1" applyProtection="1">
      <protection locked="0"/>
    </xf>
    <xf numFmtId="0" fontId="4" fillId="4" borderId="56" xfId="2" applyFont="1" applyFill="1" applyBorder="1" applyProtection="1">
      <protection locked="0"/>
    </xf>
    <xf numFmtId="0" fontId="4" fillId="0" borderId="57" xfId="2" applyBorder="1" applyProtection="1">
      <protection locked="0"/>
    </xf>
    <xf numFmtId="0" fontId="2" fillId="0" borderId="56" xfId="2" applyFont="1" applyBorder="1" applyProtection="1">
      <protection locked="0"/>
    </xf>
    <xf numFmtId="0" fontId="2" fillId="0" borderId="58" xfId="2" applyFont="1" applyBorder="1" applyProtection="1">
      <protection locked="0"/>
    </xf>
    <xf numFmtId="0" fontId="4" fillId="0" borderId="59" xfId="2" applyBorder="1" applyAlignment="1" applyProtection="1">
      <alignment horizontal="center" vertical="center"/>
    </xf>
    <xf numFmtId="0" fontId="4" fillId="8" borderId="60" xfId="2" applyFont="1" applyFill="1" applyBorder="1" applyAlignment="1" applyProtection="1">
      <alignment horizontal="center" vertical="center" wrapText="1"/>
    </xf>
    <xf numFmtId="0" fontId="4" fillId="8" borderId="61" xfId="2" applyFont="1" applyFill="1" applyBorder="1" applyAlignment="1" applyProtection="1">
      <alignment horizontal="center" vertical="center" wrapText="1"/>
    </xf>
    <xf numFmtId="0" fontId="4" fillId="0" borderId="62" xfId="2" applyBorder="1" applyProtection="1"/>
    <xf numFmtId="0" fontId="29" fillId="5" borderId="63" xfId="2" applyFont="1" applyFill="1" applyBorder="1" applyAlignment="1" applyProtection="1">
      <alignment vertical="center" wrapText="1"/>
    </xf>
    <xf numFmtId="0" fontId="4" fillId="5" borderId="64" xfId="2" applyFont="1" applyFill="1" applyBorder="1" applyAlignment="1" applyProtection="1">
      <alignment vertical="center"/>
    </xf>
    <xf numFmtId="0" fontId="10" fillId="8" borderId="65" xfId="2" applyFont="1" applyFill="1" applyBorder="1" applyAlignment="1" applyProtection="1">
      <alignment vertical="center"/>
    </xf>
    <xf numFmtId="0" fontId="10" fillId="8" borderId="66" xfId="2" applyFont="1" applyFill="1" applyBorder="1" applyAlignment="1" applyProtection="1">
      <alignment vertical="center"/>
    </xf>
    <xf numFmtId="0" fontId="29" fillId="8" borderId="67" xfId="2" applyFont="1" applyFill="1" applyBorder="1" applyAlignment="1" applyProtection="1">
      <alignment vertical="center" wrapText="1"/>
    </xf>
    <xf numFmtId="0" fontId="4" fillId="4" borderId="42" xfId="2" applyFont="1" applyFill="1" applyBorder="1" applyAlignment="1" applyProtection="1">
      <alignment vertical="center" wrapText="1"/>
    </xf>
    <xf numFmtId="0" fontId="12" fillId="8" borderId="68" xfId="2" applyFont="1" applyFill="1" applyBorder="1" applyAlignment="1" applyProtection="1">
      <alignment vertical="center"/>
    </xf>
    <xf numFmtId="0" fontId="4" fillId="8" borderId="42" xfId="2" applyFont="1" applyFill="1" applyBorder="1" applyAlignment="1" applyProtection="1">
      <alignment vertical="center"/>
    </xf>
    <xf numFmtId="0" fontId="4" fillId="5" borderId="65" xfId="2" applyFont="1" applyFill="1" applyBorder="1" applyAlignment="1" applyProtection="1">
      <alignment vertical="center"/>
    </xf>
    <xf numFmtId="0" fontId="4" fillId="5" borderId="66" xfId="2" applyFont="1" applyFill="1" applyBorder="1" applyAlignment="1" applyProtection="1">
      <alignment vertical="center"/>
    </xf>
    <xf numFmtId="0" fontId="4" fillId="5" borderId="69" xfId="2" applyFont="1" applyFill="1" applyBorder="1" applyAlignment="1" applyProtection="1">
      <alignment vertical="center"/>
    </xf>
    <xf numFmtId="0" fontId="10" fillId="4" borderId="7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9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1" xfId="2" applyFont="1" applyFill="1" applyBorder="1" applyAlignment="1" applyProtection="1">
      <alignment vertical="center"/>
    </xf>
    <xf numFmtId="0" fontId="4" fillId="4" borderId="72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3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4" xfId="2" applyFont="1" applyFill="1" applyBorder="1" applyAlignment="1" applyProtection="1">
      <alignment horizontal="center"/>
      <protection locked="0"/>
    </xf>
    <xf numFmtId="0" fontId="4" fillId="4" borderId="75" xfId="2" applyFont="1" applyFill="1" applyBorder="1" applyAlignment="1" applyProtection="1">
      <alignment horizontal="center"/>
      <protection locked="0"/>
    </xf>
    <xf numFmtId="0" fontId="4" fillId="0" borderId="76" xfId="2" applyBorder="1" applyProtection="1">
      <protection locked="0"/>
    </xf>
    <xf numFmtId="0" fontId="2" fillId="8" borderId="77" xfId="2" applyFont="1" applyFill="1" applyBorder="1" applyAlignment="1" applyProtection="1">
      <alignment horizontal="center"/>
      <protection locked="0"/>
    </xf>
    <xf numFmtId="0" fontId="2" fillId="8" borderId="78" xfId="2" applyFont="1" applyFill="1" applyBorder="1" applyAlignment="1" applyProtection="1">
      <alignment horizontal="center"/>
      <protection locked="0"/>
    </xf>
    <xf numFmtId="0" fontId="2" fillId="8" borderId="77" xfId="2" applyFont="1" applyFill="1" applyBorder="1" applyAlignment="1" applyProtection="1">
      <alignment horizontal="center" vertical="center"/>
      <protection locked="0"/>
    </xf>
    <xf numFmtId="0" fontId="11" fillId="8" borderId="79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79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0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30" fillId="8" borderId="28" xfId="2" applyFont="1" applyFill="1" applyBorder="1" applyAlignment="1" applyProtection="1">
      <alignment horizontal="left" vertical="center"/>
      <protection locked="0"/>
    </xf>
    <xf numFmtId="0" fontId="30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1" xfId="2" applyFill="1" applyBorder="1" applyProtection="1">
      <protection locked="0"/>
    </xf>
    <xf numFmtId="0" fontId="11" fillId="8" borderId="82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30" fillId="8" borderId="83" xfId="2" applyFont="1" applyFill="1" applyBorder="1" applyAlignment="1" applyProtection="1">
      <alignment horizontal="left" vertical="center"/>
      <protection locked="0"/>
    </xf>
    <xf numFmtId="0" fontId="4" fillId="0" borderId="82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1" xfId="2" applyFont="1" applyFill="1" applyBorder="1" applyProtection="1">
      <protection locked="0"/>
    </xf>
    <xf numFmtId="0" fontId="1" fillId="8" borderId="44" xfId="2" applyFont="1" applyFill="1" applyBorder="1" applyAlignment="1" applyProtection="1">
      <alignment vertical="center"/>
    </xf>
    <xf numFmtId="0" fontId="1" fillId="8" borderId="45" xfId="2" applyFont="1" applyFill="1" applyBorder="1" applyProtection="1"/>
    <xf numFmtId="0" fontId="4" fillId="8" borderId="45" xfId="2" applyFont="1" applyFill="1" applyBorder="1" applyProtection="1"/>
    <xf numFmtId="0" fontId="1" fillId="8" borderId="84" xfId="2" applyFont="1" applyFill="1" applyBorder="1" applyProtection="1">
      <protection locked="0"/>
    </xf>
    <xf numFmtId="0" fontId="1" fillId="0" borderId="85" xfId="2" applyFont="1" applyFill="1" applyBorder="1" applyProtection="1">
      <protection locked="0"/>
    </xf>
    <xf numFmtId="0" fontId="1" fillId="8" borderId="53" xfId="2" applyFont="1" applyFill="1" applyBorder="1" applyAlignment="1" applyProtection="1">
      <alignment vertical="center"/>
    </xf>
    <xf numFmtId="0" fontId="1" fillId="8" borderId="54" xfId="2" applyFont="1" applyFill="1" applyBorder="1" applyProtection="1"/>
    <xf numFmtId="0" fontId="4" fillId="8" borderId="86" xfId="2" applyFont="1" applyFill="1" applyBorder="1" applyProtection="1"/>
    <xf numFmtId="0" fontId="4" fillId="0" borderId="87" xfId="2" applyBorder="1" applyProtection="1">
      <protection locked="0"/>
    </xf>
    <xf numFmtId="0" fontId="1" fillId="8" borderId="88" xfId="2" applyFont="1" applyFill="1" applyBorder="1" applyProtection="1">
      <protection locked="0"/>
    </xf>
    <xf numFmtId="0" fontId="1" fillId="0" borderId="89" xfId="2" applyFont="1" applyFill="1" applyBorder="1" applyProtection="1">
      <protection locked="0"/>
    </xf>
    <xf numFmtId="0" fontId="1" fillId="8" borderId="90" xfId="2" applyNumberFormat="1" applyFont="1" applyFill="1" applyBorder="1" applyAlignment="1" applyProtection="1">
      <alignment vertical="center"/>
    </xf>
    <xf numFmtId="0" fontId="4" fillId="8" borderId="71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1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2" xfId="2" applyFont="1" applyFill="1" applyBorder="1" applyAlignment="1" applyProtection="1">
      <alignment horizontal="left" vertical="center"/>
      <protection locked="0"/>
    </xf>
    <xf numFmtId="0" fontId="4" fillId="8" borderId="91" xfId="2" applyFill="1" applyBorder="1" applyProtection="1">
      <protection locked="0"/>
    </xf>
    <xf numFmtId="0" fontId="4" fillId="8" borderId="93" xfId="2" applyFill="1" applyBorder="1" applyProtection="1"/>
    <xf numFmtId="0" fontId="1" fillId="0" borderId="93" xfId="2" applyFont="1" applyBorder="1" applyAlignment="1" applyProtection="1">
      <alignment horizontal="center"/>
    </xf>
    <xf numFmtId="0" fontId="4" fillId="0" borderId="75" xfId="2" applyBorder="1" applyProtection="1">
      <protection locked="0"/>
    </xf>
    <xf numFmtId="0" fontId="11" fillId="0" borderId="94" xfId="2" applyFont="1" applyBorder="1" applyAlignment="1" applyProtection="1">
      <alignment horizontal="center"/>
      <protection locked="0"/>
    </xf>
    <xf numFmtId="0" fontId="11" fillId="8" borderId="77" xfId="2" applyFont="1" applyFill="1" applyBorder="1" applyAlignment="1" applyProtection="1">
      <alignment horizontal="center"/>
      <protection locked="0"/>
    </xf>
    <xf numFmtId="0" fontId="11" fillId="8" borderId="74" xfId="2" applyFont="1" applyFill="1" applyBorder="1" applyAlignment="1" applyProtection="1">
      <alignment horizontal="center"/>
      <protection locked="0"/>
    </xf>
    <xf numFmtId="0" fontId="11" fillId="8" borderId="94" xfId="2" applyFont="1" applyFill="1" applyBorder="1" applyAlignment="1" applyProtection="1">
      <alignment horizontal="center"/>
      <protection locked="0"/>
    </xf>
    <xf numFmtId="0" fontId="11" fillId="0" borderId="77" xfId="2" applyFont="1" applyFill="1" applyBorder="1" applyAlignment="1" applyProtection="1">
      <alignment horizontal="center"/>
      <protection locked="0"/>
    </xf>
    <xf numFmtId="0" fontId="11" fillId="8" borderId="95" xfId="2" applyFont="1" applyFill="1" applyBorder="1" applyAlignment="1" applyProtection="1">
      <alignment horizontal="center"/>
      <protection locked="0"/>
    </xf>
    <xf numFmtId="0" fontId="11" fillId="8" borderId="78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6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98" xfId="2" applyFont="1" applyFill="1" applyBorder="1" applyAlignment="1" applyProtection="1">
      <alignment horizontal="center"/>
      <protection locked="0"/>
    </xf>
    <xf numFmtId="0" fontId="1" fillId="0" borderId="99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1" fillId="8" borderId="81" xfId="2" applyFont="1" applyFill="1" applyBorder="1" applyAlignment="1" applyProtection="1">
      <alignment horizontal="center"/>
      <protection locked="0"/>
    </xf>
    <xf numFmtId="0" fontId="4" fillId="0" borderId="101" xfId="2" applyBorder="1" applyProtection="1">
      <protection locked="0"/>
    </xf>
    <xf numFmtId="0" fontId="4" fillId="0" borderId="102" xfId="2" applyBorder="1" applyProtection="1">
      <protection locked="0"/>
    </xf>
    <xf numFmtId="0" fontId="4" fillId="0" borderId="103" xfId="2" applyBorder="1" applyProtection="1">
      <protection locked="0"/>
    </xf>
    <xf numFmtId="0" fontId="4" fillId="8" borderId="104" xfId="2" applyFill="1" applyBorder="1" applyProtection="1"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4" xfId="2" applyFont="1" applyFill="1" applyBorder="1" applyAlignment="1" applyProtection="1">
      <alignment horizontal="center" vertic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4" fillId="8" borderId="105" xfId="2" applyFont="1" applyFill="1" applyBorder="1" applyAlignment="1" applyProtection="1">
      <alignment vertical="center"/>
    </xf>
    <xf numFmtId="0" fontId="4" fillId="8" borderId="106" xfId="2" applyFont="1" applyFill="1" applyBorder="1" applyAlignment="1" applyProtection="1">
      <alignment vertical="center"/>
    </xf>
    <xf numFmtId="0" fontId="4" fillId="4" borderId="106" xfId="2" applyFont="1" applyFill="1" applyBorder="1" applyAlignment="1" applyProtection="1">
      <alignment vertical="center"/>
    </xf>
    <xf numFmtId="0" fontId="33" fillId="8" borderId="106" xfId="2" applyFont="1" applyFill="1" applyBorder="1" applyAlignment="1" applyProtection="1">
      <alignment vertical="center"/>
    </xf>
    <xf numFmtId="0" fontId="4" fillId="8" borderId="107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34" fillId="8" borderId="106" xfId="2" applyFont="1" applyFill="1" applyBorder="1" applyAlignment="1" applyProtection="1">
      <alignment vertical="center"/>
    </xf>
    <xf numFmtId="0" fontId="35" fillId="8" borderId="106" xfId="2" applyFont="1" applyFill="1" applyBorder="1" applyAlignment="1" applyProtection="1">
      <alignment vertical="center"/>
    </xf>
    <xf numFmtId="0" fontId="35" fillId="8" borderId="109" xfId="2" applyFont="1" applyFill="1" applyBorder="1" applyAlignment="1" applyProtection="1">
      <alignment vertical="center"/>
    </xf>
    <xf numFmtId="0" fontId="4" fillId="8" borderId="108" xfId="2" applyFill="1" applyBorder="1" applyAlignment="1" applyProtection="1">
      <alignment vertical="center"/>
    </xf>
    <xf numFmtId="0" fontId="36" fillId="8" borderId="106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Protection="1"/>
    <xf numFmtId="20" fontId="2" fillId="10" borderId="94" xfId="0" applyNumberFormat="1" applyFont="1" applyFill="1" applyBorder="1" applyAlignment="1">
      <alignment horizontal="left" vertical="top"/>
    </xf>
    <xf numFmtId="1" fontId="3" fillId="10" borderId="77" xfId="0" applyNumberFormat="1" applyFont="1" applyFill="1" applyBorder="1" applyAlignment="1">
      <alignment horizontal="center" vertical="center"/>
    </xf>
    <xf numFmtId="1" fontId="3" fillId="10" borderId="77" xfId="0" applyNumberFormat="1" applyFont="1" applyFill="1" applyBorder="1" applyAlignment="1">
      <alignment horizontal="center"/>
    </xf>
    <xf numFmtId="0" fontId="3" fillId="10" borderId="77" xfId="0" applyFont="1" applyFill="1" applyBorder="1" applyAlignment="1">
      <alignment horizontal="left"/>
    </xf>
    <xf numFmtId="1" fontId="3" fillId="10" borderId="116" xfId="0" applyNumberFormat="1" applyFont="1" applyFill="1" applyBorder="1" applyAlignment="1">
      <alignment horizontal="left"/>
    </xf>
    <xf numFmtId="0" fontId="2" fillId="10" borderId="77" xfId="0" applyFont="1" applyFill="1" applyBorder="1" applyAlignment="1">
      <alignment horizontal="left"/>
    </xf>
    <xf numFmtId="0" fontId="3" fillId="10" borderId="77" xfId="0" applyFont="1" applyFill="1" applyBorder="1" applyAlignment="1" applyProtection="1">
      <alignment horizontal="center"/>
      <protection locked="0"/>
    </xf>
    <xf numFmtId="0" fontId="2" fillId="10" borderId="77" xfId="0" applyFont="1" applyFill="1" applyBorder="1" applyAlignment="1" applyProtection="1">
      <alignment horizontal="center"/>
    </xf>
    <xf numFmtId="0" fontId="3" fillId="10" borderId="77" xfId="0" applyFont="1" applyFill="1" applyBorder="1" applyAlignment="1" applyProtection="1">
      <alignment horizontal="center"/>
    </xf>
    <xf numFmtId="0" fontId="3" fillId="10" borderId="77" xfId="0" applyFont="1" applyFill="1" applyBorder="1" applyProtection="1"/>
    <xf numFmtId="0" fontId="3" fillId="10" borderId="74" xfId="0" applyFont="1" applyFill="1" applyBorder="1" applyAlignment="1" applyProtection="1">
      <alignment horizontal="center"/>
    </xf>
    <xf numFmtId="20" fontId="3" fillId="10" borderId="27" xfId="0" applyNumberFormat="1" applyFont="1" applyFill="1" applyBorder="1" applyAlignment="1">
      <alignment horizontal="center" vertical="top"/>
    </xf>
    <xf numFmtId="1" fontId="3" fillId="10" borderId="1" xfId="0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left"/>
    </xf>
    <xf numFmtId="1" fontId="3" fillId="10" borderId="2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3" fillId="10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</xf>
    <xf numFmtId="0" fontId="3" fillId="10" borderId="1" xfId="0" applyFont="1" applyFill="1" applyBorder="1" applyAlignment="1" applyProtection="1">
      <alignment horizontal="center"/>
    </xf>
    <xf numFmtId="0" fontId="3" fillId="10" borderId="1" xfId="0" applyFont="1" applyFill="1" applyBorder="1" applyProtection="1"/>
    <xf numFmtId="0" fontId="3" fillId="10" borderId="28" xfId="0" applyFont="1" applyFill="1" applyBorder="1" applyAlignment="1" applyProtection="1">
      <alignment horizontal="center"/>
    </xf>
    <xf numFmtId="20" fontId="3" fillId="10" borderId="31" xfId="0" applyNumberFormat="1" applyFont="1" applyFill="1" applyBorder="1" applyAlignment="1">
      <alignment horizontal="center" vertical="top"/>
    </xf>
    <xf numFmtId="1" fontId="3" fillId="10" borderId="32" xfId="0" applyNumberFormat="1" applyFont="1" applyFill="1" applyBorder="1" applyAlignment="1">
      <alignment horizontal="center" vertical="center"/>
    </xf>
    <xf numFmtId="1" fontId="3" fillId="10" borderId="32" xfId="0" applyNumberFormat="1" applyFont="1" applyFill="1" applyBorder="1" applyAlignment="1">
      <alignment horizontal="center"/>
    </xf>
    <xf numFmtId="0" fontId="3" fillId="10" borderId="32" xfId="0" applyFont="1" applyFill="1" applyBorder="1" applyAlignment="1">
      <alignment horizontal="left"/>
    </xf>
    <xf numFmtId="1" fontId="3" fillId="10" borderId="32" xfId="0" applyNumberFormat="1" applyFont="1" applyFill="1" applyBorder="1" applyAlignment="1">
      <alignment horizontal="left"/>
    </xf>
    <xf numFmtId="0" fontId="2" fillId="10" borderId="32" xfId="0" applyFont="1" applyFill="1" applyBorder="1" applyAlignment="1">
      <alignment horizontal="left"/>
    </xf>
    <xf numFmtId="0" fontId="3" fillId="10" borderId="32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</xf>
    <xf numFmtId="0" fontId="3" fillId="10" borderId="32" xfId="0" applyFont="1" applyFill="1" applyBorder="1" applyAlignment="1" applyProtection="1">
      <alignment horizontal="center"/>
    </xf>
    <xf numFmtId="0" fontId="3" fillId="10" borderId="32" xfId="0" applyFont="1" applyFill="1" applyBorder="1" applyProtection="1"/>
    <xf numFmtId="0" fontId="3" fillId="10" borderId="33" xfId="0" applyFont="1" applyFill="1" applyBorder="1" applyAlignment="1" applyProtection="1">
      <alignment horizontal="center"/>
    </xf>
    <xf numFmtId="20" fontId="2" fillId="11" borderId="94" xfId="0" applyNumberFormat="1" applyFont="1" applyFill="1" applyBorder="1" applyAlignment="1">
      <alignment horizontal="left" vertical="top"/>
    </xf>
    <xf numFmtId="1" fontId="3" fillId="11" borderId="77" xfId="0" applyNumberFormat="1" applyFont="1" applyFill="1" applyBorder="1" applyAlignment="1">
      <alignment horizontal="center" vertical="center"/>
    </xf>
    <xf numFmtId="1" fontId="3" fillId="11" borderId="77" xfId="0" applyNumberFormat="1" applyFont="1" applyFill="1" applyBorder="1" applyAlignment="1">
      <alignment horizontal="center"/>
    </xf>
    <xf numFmtId="0" fontId="3" fillId="11" borderId="77" xfId="0" applyFont="1" applyFill="1" applyBorder="1" applyAlignment="1">
      <alignment horizontal="left"/>
    </xf>
    <xf numFmtId="1" fontId="3" fillId="11" borderId="116" xfId="0" applyNumberFormat="1" applyFont="1" applyFill="1" applyBorder="1" applyAlignment="1">
      <alignment horizontal="left"/>
    </xf>
    <xf numFmtId="0" fontId="2" fillId="11" borderId="77" xfId="0" applyFont="1" applyFill="1" applyBorder="1" applyAlignment="1">
      <alignment horizontal="left"/>
    </xf>
    <xf numFmtId="0" fontId="3" fillId="11" borderId="77" xfId="0" applyFont="1" applyFill="1" applyBorder="1" applyAlignment="1" applyProtection="1">
      <alignment horizontal="center"/>
      <protection locked="0"/>
    </xf>
    <xf numFmtId="0" fontId="2" fillId="11" borderId="77" xfId="0" applyFont="1" applyFill="1" applyBorder="1" applyAlignment="1" applyProtection="1">
      <alignment horizontal="center"/>
    </xf>
    <xf numFmtId="0" fontId="3" fillId="11" borderId="77" xfId="0" applyFont="1" applyFill="1" applyBorder="1" applyAlignment="1" applyProtection="1">
      <alignment horizontal="center"/>
    </xf>
    <xf numFmtId="0" fontId="3" fillId="11" borderId="77" xfId="0" applyFont="1" applyFill="1" applyBorder="1" applyProtection="1"/>
    <xf numFmtId="0" fontId="3" fillId="11" borderId="74" xfId="0" applyFont="1" applyFill="1" applyBorder="1" applyAlignment="1" applyProtection="1">
      <alignment horizontal="center"/>
    </xf>
    <xf numFmtId="20" fontId="3" fillId="11" borderId="27" xfId="0" applyNumberFormat="1" applyFont="1" applyFill="1" applyBorder="1" applyAlignment="1">
      <alignment horizontal="center" vertical="top"/>
    </xf>
    <xf numFmtId="1" fontId="3" fillId="11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left"/>
    </xf>
    <xf numFmtId="1" fontId="3" fillId="11" borderId="2" xfId="0" applyNumberFormat="1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3" fillId="11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Protection="1"/>
    <xf numFmtId="0" fontId="3" fillId="11" borderId="28" xfId="0" applyFont="1" applyFill="1" applyBorder="1" applyAlignment="1" applyProtection="1">
      <alignment horizontal="center"/>
    </xf>
    <xf numFmtId="20" fontId="3" fillId="11" borderId="31" xfId="0" applyNumberFormat="1" applyFont="1" applyFill="1" applyBorder="1" applyAlignment="1">
      <alignment horizontal="center" vertical="top"/>
    </xf>
    <xf numFmtId="1" fontId="3" fillId="11" borderId="32" xfId="0" applyNumberFormat="1" applyFont="1" applyFill="1" applyBorder="1" applyAlignment="1">
      <alignment horizontal="center" vertical="center"/>
    </xf>
    <xf numFmtId="1" fontId="3" fillId="11" borderId="32" xfId="0" applyNumberFormat="1" applyFont="1" applyFill="1" applyBorder="1" applyAlignment="1">
      <alignment horizontal="center"/>
    </xf>
    <xf numFmtId="0" fontId="3" fillId="11" borderId="32" xfId="0" applyFont="1" applyFill="1" applyBorder="1" applyAlignment="1">
      <alignment horizontal="left"/>
    </xf>
    <xf numFmtId="1" fontId="3" fillId="11" borderId="32" xfId="0" applyNumberFormat="1" applyFont="1" applyFill="1" applyBorder="1" applyAlignment="1">
      <alignment horizontal="left"/>
    </xf>
    <xf numFmtId="0" fontId="2" fillId="11" borderId="32" xfId="0" applyFont="1" applyFill="1" applyBorder="1" applyAlignment="1">
      <alignment horizontal="left"/>
    </xf>
    <xf numFmtId="0" fontId="3" fillId="11" borderId="32" xfId="0" applyFont="1" applyFill="1" applyBorder="1" applyAlignment="1" applyProtection="1">
      <alignment horizontal="center"/>
      <protection locked="0"/>
    </xf>
    <xf numFmtId="0" fontId="2" fillId="11" borderId="32" xfId="0" applyFont="1" applyFill="1" applyBorder="1" applyAlignment="1" applyProtection="1">
      <alignment horizontal="center"/>
    </xf>
    <xf numFmtId="0" fontId="3" fillId="11" borderId="32" xfId="0" applyFont="1" applyFill="1" applyBorder="1" applyAlignment="1" applyProtection="1">
      <alignment horizontal="center"/>
    </xf>
    <xf numFmtId="0" fontId="3" fillId="11" borderId="32" xfId="0" applyFont="1" applyFill="1" applyBorder="1" applyProtection="1"/>
    <xf numFmtId="0" fontId="3" fillId="11" borderId="33" xfId="0" applyFont="1" applyFill="1" applyBorder="1" applyAlignment="1" applyProtection="1">
      <alignment horizontal="center"/>
    </xf>
    <xf numFmtId="20" fontId="2" fillId="12" borderId="94" xfId="0" applyNumberFormat="1" applyFont="1" applyFill="1" applyBorder="1" applyAlignment="1">
      <alignment horizontal="center" vertical="top"/>
    </xf>
    <xf numFmtId="1" fontId="3" fillId="12" borderId="77" xfId="0" applyNumberFormat="1" applyFont="1" applyFill="1" applyBorder="1" applyAlignment="1">
      <alignment horizontal="center" vertical="center"/>
    </xf>
    <xf numFmtId="1" fontId="3" fillId="12" borderId="77" xfId="0" applyNumberFormat="1" applyFont="1" applyFill="1" applyBorder="1" applyAlignment="1">
      <alignment horizontal="center"/>
    </xf>
    <xf numFmtId="0" fontId="3" fillId="12" borderId="77" xfId="0" applyFont="1" applyFill="1" applyBorder="1" applyAlignment="1">
      <alignment horizontal="left"/>
    </xf>
    <xf numFmtId="1" fontId="3" fillId="12" borderId="116" xfId="0" applyNumberFormat="1" applyFont="1" applyFill="1" applyBorder="1" applyAlignment="1">
      <alignment horizontal="left"/>
    </xf>
    <xf numFmtId="0" fontId="2" fillId="12" borderId="77" xfId="0" applyFont="1" applyFill="1" applyBorder="1" applyAlignment="1">
      <alignment horizontal="left"/>
    </xf>
    <xf numFmtId="0" fontId="3" fillId="12" borderId="77" xfId="0" applyFont="1" applyFill="1" applyBorder="1" applyAlignment="1" applyProtection="1">
      <alignment horizontal="center"/>
      <protection locked="0"/>
    </xf>
    <xf numFmtId="0" fontId="2" fillId="12" borderId="77" xfId="0" applyFont="1" applyFill="1" applyBorder="1" applyAlignment="1" applyProtection="1">
      <alignment horizontal="center"/>
    </xf>
    <xf numFmtId="0" fontId="3" fillId="12" borderId="77" xfId="0" applyFont="1" applyFill="1" applyBorder="1" applyAlignment="1" applyProtection="1">
      <alignment horizontal="center"/>
    </xf>
    <xf numFmtId="0" fontId="3" fillId="12" borderId="77" xfId="0" applyFont="1" applyFill="1" applyBorder="1" applyProtection="1"/>
    <xf numFmtId="0" fontId="3" fillId="12" borderId="74" xfId="0" applyFont="1" applyFill="1" applyBorder="1" applyAlignment="1" applyProtection="1">
      <alignment horizontal="center"/>
    </xf>
    <xf numFmtId="20" fontId="3" fillId="12" borderId="27" xfId="0" applyNumberFormat="1" applyFont="1" applyFill="1" applyBorder="1" applyAlignment="1">
      <alignment horizontal="center" vertical="top"/>
    </xf>
    <xf numFmtId="1" fontId="3" fillId="12" borderId="1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1" fontId="3" fillId="12" borderId="2" xfId="0" applyNumberFormat="1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3" fillId="12" borderId="1" xfId="0" applyFont="1" applyFill="1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horizontal="center"/>
    </xf>
    <xf numFmtId="0" fontId="3" fillId="12" borderId="1" xfId="0" applyFont="1" applyFill="1" applyBorder="1" applyAlignment="1" applyProtection="1">
      <alignment horizontal="center"/>
    </xf>
    <xf numFmtId="0" fontId="3" fillId="12" borderId="1" xfId="0" applyFont="1" applyFill="1" applyBorder="1" applyProtection="1"/>
    <xf numFmtId="0" fontId="3" fillId="12" borderId="28" xfId="0" applyFont="1" applyFill="1" applyBorder="1" applyAlignment="1" applyProtection="1">
      <alignment horizontal="center"/>
    </xf>
    <xf numFmtId="20" fontId="3" fillId="12" borderId="31" xfId="0" applyNumberFormat="1" applyFont="1" applyFill="1" applyBorder="1" applyAlignment="1">
      <alignment horizontal="center" vertical="top"/>
    </xf>
    <xf numFmtId="1" fontId="3" fillId="12" borderId="32" xfId="0" applyNumberFormat="1" applyFont="1" applyFill="1" applyBorder="1" applyAlignment="1">
      <alignment horizontal="center" vertical="center"/>
    </xf>
    <xf numFmtId="1" fontId="3" fillId="12" borderId="32" xfId="0" applyNumberFormat="1" applyFont="1" applyFill="1" applyBorder="1" applyAlignment="1">
      <alignment horizontal="center"/>
    </xf>
    <xf numFmtId="0" fontId="3" fillId="12" borderId="32" xfId="0" applyFont="1" applyFill="1" applyBorder="1" applyAlignment="1">
      <alignment horizontal="left"/>
    </xf>
    <xf numFmtId="1" fontId="3" fillId="12" borderId="32" xfId="0" applyNumberFormat="1" applyFont="1" applyFill="1" applyBorder="1" applyAlignment="1">
      <alignment horizontal="left"/>
    </xf>
    <xf numFmtId="0" fontId="2" fillId="12" borderId="32" xfId="0" applyFont="1" applyFill="1" applyBorder="1" applyAlignment="1">
      <alignment horizontal="left"/>
    </xf>
    <xf numFmtId="0" fontId="3" fillId="12" borderId="32" xfId="0" applyFont="1" applyFill="1" applyBorder="1" applyAlignment="1" applyProtection="1">
      <alignment horizontal="center"/>
      <protection locked="0"/>
    </xf>
    <xf numFmtId="0" fontId="2" fillId="12" borderId="32" xfId="0" applyFont="1" applyFill="1" applyBorder="1" applyAlignment="1" applyProtection="1">
      <alignment horizontal="center"/>
    </xf>
    <xf numFmtId="0" fontId="3" fillId="12" borderId="32" xfId="0" applyFont="1" applyFill="1" applyBorder="1" applyAlignment="1" applyProtection="1">
      <alignment horizontal="center"/>
    </xf>
    <xf numFmtId="0" fontId="3" fillId="12" borderId="32" xfId="0" applyFont="1" applyFill="1" applyBorder="1" applyProtection="1"/>
    <xf numFmtId="0" fontId="3" fillId="12" borderId="33" xfId="0" applyFont="1" applyFill="1" applyBorder="1" applyAlignment="1" applyProtection="1">
      <alignment horizontal="center"/>
    </xf>
    <xf numFmtId="20" fontId="2" fillId="12" borderId="94" xfId="0" applyNumberFormat="1" applyFont="1" applyFill="1" applyBorder="1" applyAlignment="1">
      <alignment horizontal="left" vertical="top"/>
    </xf>
    <xf numFmtId="1" fontId="3" fillId="12" borderId="1" xfId="0" applyNumberFormat="1" applyFont="1" applyFill="1" applyBorder="1" applyAlignment="1">
      <alignment horizontal="left"/>
    </xf>
    <xf numFmtId="1" fontId="3" fillId="10" borderId="1" xfId="0" applyNumberFormat="1" applyFont="1" applyFill="1" applyBorder="1" applyAlignment="1">
      <alignment horizontal="left"/>
    </xf>
    <xf numFmtId="14" fontId="4" fillId="0" borderId="51" xfId="0" applyNumberFormat="1" applyFont="1" applyFill="1" applyBorder="1" applyAlignment="1">
      <alignment horizontal="center"/>
    </xf>
    <xf numFmtId="1" fontId="3" fillId="12" borderId="77" xfId="0" applyNumberFormat="1" applyFont="1" applyFill="1" applyBorder="1" applyAlignment="1">
      <alignment horizontal="left"/>
    </xf>
    <xf numFmtId="1" fontId="3" fillId="10" borderId="77" xfId="0" applyNumberFormat="1" applyFont="1" applyFill="1" applyBorder="1" applyAlignment="1">
      <alignment horizontal="left"/>
    </xf>
    <xf numFmtId="1" fontId="3" fillId="11" borderId="77" xfId="0" applyNumberFormat="1" applyFont="1" applyFill="1" applyBorder="1" applyAlignment="1">
      <alignment horizontal="left"/>
    </xf>
    <xf numFmtId="1" fontId="3" fillId="11" borderId="1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0" fillId="9" borderId="1" xfId="0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0" fontId="16" fillId="0" borderId="118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2" fillId="0" borderId="117" xfId="0" applyFont="1" applyBorder="1" applyAlignment="1"/>
    <xf numFmtId="0" fontId="12" fillId="0" borderId="49" xfId="0" applyFont="1" applyBorder="1" applyAlignment="1"/>
    <xf numFmtId="0" fontId="12" fillId="0" borderId="26" xfId="0" applyFont="1" applyBorder="1" applyAlignment="1"/>
    <xf numFmtId="0" fontId="12" fillId="0" borderId="16" xfId="0" applyFont="1" applyBorder="1" applyAlignment="1"/>
    <xf numFmtId="0" fontId="0" fillId="0" borderId="2" xfId="0" applyBorder="1" applyAlignment="1"/>
    <xf numFmtId="0" fontId="0" fillId="0" borderId="83" xfId="0" applyBorder="1" applyAlignment="1"/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6" fillId="4" borderId="6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1" fillId="0" borderId="133" xfId="2" applyFont="1" applyFill="1" applyBorder="1" applyAlignment="1" applyProtection="1">
      <alignment horizontal="center" vertical="center"/>
    </xf>
    <xf numFmtId="0" fontId="8" fillId="0" borderId="130" xfId="2" applyFont="1" applyBorder="1" applyAlignment="1" applyProtection="1">
      <alignment horizontal="center"/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134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5" xfId="2" applyFont="1" applyBorder="1" applyAlignment="1" applyProtection="1">
      <alignment horizontal="center" vertical="center"/>
    </xf>
    <xf numFmtId="0" fontId="28" fillId="0" borderId="6" xfId="2" applyFont="1" applyBorder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8" xfId="2" applyFont="1" applyBorder="1" applyAlignment="1" applyProtection="1">
      <alignment horizontal="center" vertical="center"/>
      <protection locked="0"/>
    </xf>
    <xf numFmtId="0" fontId="28" fillId="0" borderId="136" xfId="2" applyFont="1" applyBorder="1" applyAlignment="1" applyProtection="1">
      <alignment horizontal="center" vertical="center"/>
      <protection locked="0"/>
    </xf>
    <xf numFmtId="0" fontId="28" fillId="0" borderId="39" xfId="2" applyFont="1" applyBorder="1" applyAlignment="1" applyProtection="1">
      <alignment horizontal="center" vertical="center"/>
      <protection locked="0"/>
    </xf>
    <xf numFmtId="0" fontId="28" fillId="0" borderId="137" xfId="2" applyFont="1" applyBorder="1" applyAlignment="1" applyProtection="1">
      <alignment horizontal="center" vertical="center"/>
      <protection locked="0"/>
    </xf>
    <xf numFmtId="0" fontId="1" fillId="0" borderId="102" xfId="2" applyFont="1" applyBorder="1" applyAlignment="1" applyProtection="1">
      <alignment horizontal="center" vertical="center"/>
    </xf>
    <xf numFmtId="0" fontId="1" fillId="0" borderId="75" xfId="2" applyFont="1" applyBorder="1" applyAlignment="1" applyProtection="1">
      <alignment horizontal="center" vertical="center"/>
    </xf>
    <xf numFmtId="0" fontId="1" fillId="0" borderId="103" xfId="2" applyFont="1" applyBorder="1" applyAlignment="1" applyProtection="1">
      <alignment horizontal="center" vertical="center"/>
    </xf>
    <xf numFmtId="0" fontId="1" fillId="0" borderId="129" xfId="2" applyFont="1" applyBorder="1" applyAlignment="1" applyProtection="1">
      <alignment horizontal="center" vertical="center"/>
    </xf>
    <xf numFmtId="0" fontId="8" fillId="0" borderId="138" xfId="2" applyFont="1" applyBorder="1" applyAlignment="1" applyProtection="1">
      <alignment horizont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8" fillId="0" borderId="86" xfId="2" applyFont="1" applyBorder="1" applyAlignment="1" applyProtection="1">
      <alignment horizontal="center"/>
      <protection locked="0"/>
    </xf>
    <xf numFmtId="20" fontId="8" fillId="0" borderId="138" xfId="2" applyNumberFormat="1" applyFont="1" applyBorder="1" applyAlignment="1" applyProtection="1">
      <alignment horizontal="center"/>
      <protection locked="0"/>
    </xf>
    <xf numFmtId="0" fontId="1" fillId="0" borderId="54" xfId="2" applyFont="1" applyBorder="1" applyAlignment="1" applyProtection="1">
      <alignment horizontal="right" vertical="center"/>
    </xf>
    <xf numFmtId="0" fontId="1" fillId="0" borderId="124" xfId="2" applyFont="1" applyBorder="1" applyAlignment="1" applyProtection="1">
      <alignment horizontal="right" vertical="center"/>
    </xf>
    <xf numFmtId="0" fontId="1" fillId="0" borderId="130" xfId="2" applyFont="1" applyBorder="1" applyAlignment="1" applyProtection="1">
      <alignment horizontal="center" vertical="center"/>
    </xf>
    <xf numFmtId="0" fontId="1" fillId="0" borderId="96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6" xfId="2" applyFont="1" applyBorder="1" applyAlignment="1" applyProtection="1">
      <alignment horizontal="center" vertical="center"/>
      <protection locked="0"/>
    </xf>
    <xf numFmtId="0" fontId="1" fillId="0" borderId="92" xfId="2" applyFont="1" applyBorder="1" applyAlignment="1" applyProtection="1">
      <alignment horizontal="center" vertical="center"/>
      <protection locked="0"/>
    </xf>
    <xf numFmtId="0" fontId="31" fillId="8" borderId="126" xfId="2" applyFont="1" applyFill="1" applyBorder="1" applyAlignment="1" applyProtection="1">
      <alignment horizontal="center" vertical="center"/>
    </xf>
    <xf numFmtId="0" fontId="31" fillId="8" borderId="92" xfId="2" applyFont="1" applyFill="1" applyBorder="1" applyAlignment="1" applyProtection="1">
      <alignment horizontal="center" vertical="center"/>
    </xf>
    <xf numFmtId="0" fontId="31" fillId="8" borderId="35" xfId="2" applyFont="1" applyFill="1" applyBorder="1" applyAlignment="1" applyProtection="1">
      <alignment horizontal="center" vertical="center"/>
    </xf>
    <xf numFmtId="0" fontId="31" fillId="8" borderId="127" xfId="2" applyFont="1" applyFill="1" applyBorder="1" applyAlignment="1" applyProtection="1">
      <alignment horizontal="center" vertical="center"/>
    </xf>
    <xf numFmtId="0" fontId="32" fillId="0" borderId="128" xfId="2" applyFont="1" applyBorder="1" applyAlignment="1" applyProtection="1">
      <alignment horizontal="center" textRotation="90"/>
    </xf>
    <xf numFmtId="0" fontId="32" fillId="0" borderId="90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4" fillId="0" borderId="125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44" xfId="2" applyBorder="1" applyAlignment="1" applyProtection="1">
      <alignment horizontal="left"/>
      <protection locked="0"/>
    </xf>
    <xf numFmtId="0" fontId="4" fillId="0" borderId="45" xfId="2" applyBorder="1" applyAlignment="1" applyProtection="1">
      <alignment horizontal="left"/>
      <protection locked="0"/>
    </xf>
    <xf numFmtId="0" fontId="4" fillId="0" borderId="122" xfId="2" applyBorder="1" applyAlignment="1" applyProtection="1">
      <alignment horizontal="left"/>
      <protection locked="0"/>
    </xf>
    <xf numFmtId="0" fontId="4" fillId="0" borderId="53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4" fillId="0" borderId="124" xfId="2" applyBorder="1" applyAlignment="1" applyProtection="1">
      <alignment horizontal="left"/>
      <protection locked="0"/>
    </xf>
    <xf numFmtId="0" fontId="4" fillId="0" borderId="48" xfId="2" applyBorder="1" applyAlignment="1" applyProtection="1">
      <alignment horizontal="left"/>
      <protection locked="0"/>
    </xf>
    <xf numFmtId="0" fontId="4" fillId="0" borderId="49" xfId="2" applyBorder="1" applyAlignment="1" applyProtection="1">
      <alignment horizontal="left"/>
      <protection locked="0"/>
    </xf>
    <xf numFmtId="0" fontId="4" fillId="0" borderId="52" xfId="2" applyBorder="1" applyAlignment="1" applyProtection="1">
      <alignment horizontal="left"/>
      <protection locked="0"/>
    </xf>
    <xf numFmtId="0" fontId="2" fillId="0" borderId="123" xfId="2" applyFont="1" applyBorder="1" applyAlignment="1" applyProtection="1">
      <alignment horizontal="left"/>
    </xf>
    <xf numFmtId="0" fontId="2" fillId="0" borderId="54" xfId="2" applyFont="1" applyBorder="1" applyAlignment="1" applyProtection="1">
      <alignment horizontal="left"/>
    </xf>
    <xf numFmtId="0" fontId="2" fillId="0" borderId="124" xfId="2" applyFont="1" applyBorder="1" applyAlignment="1" applyProtection="1">
      <alignment horizontal="left"/>
    </xf>
    <xf numFmtId="0" fontId="2" fillId="0" borderId="100" xfId="2" applyNumberFormat="1" applyFont="1" applyBorder="1" applyAlignment="1" applyProtection="1">
      <alignment horizontal="center"/>
    </xf>
    <xf numFmtId="0" fontId="2" fillId="0" borderId="56" xfId="2" applyNumberFormat="1" applyFont="1" applyBorder="1" applyAlignment="1" applyProtection="1">
      <alignment horizontal="center"/>
    </xf>
    <xf numFmtId="0" fontId="11" fillId="0" borderId="119" xfId="2" applyFont="1" applyBorder="1" applyAlignment="1" applyProtection="1">
      <alignment horizontal="left"/>
    </xf>
    <xf numFmtId="0" fontId="11" fillId="0" borderId="35" xfId="2" applyFont="1" applyBorder="1" applyAlignment="1" applyProtection="1">
      <alignment horizontal="left"/>
    </xf>
    <xf numFmtId="0" fontId="11" fillId="0" borderId="36" xfId="2" applyFont="1" applyBorder="1" applyAlignment="1" applyProtection="1">
      <alignment horizontal="left"/>
    </xf>
    <xf numFmtId="0" fontId="5" fillId="0" borderId="38" xfId="2" applyFont="1" applyBorder="1" applyAlignment="1" applyProtection="1">
      <alignment horizontal="center"/>
    </xf>
    <xf numFmtId="0" fontId="5" fillId="0" borderId="39" xfId="2" applyFont="1" applyBorder="1" applyAlignment="1" applyProtection="1">
      <alignment horizontal="center"/>
    </xf>
    <xf numFmtId="0" fontId="5" fillId="0" borderId="40" xfId="2" applyFont="1" applyBorder="1" applyAlignment="1" applyProtection="1">
      <alignment horizontal="center"/>
    </xf>
    <xf numFmtId="0" fontId="2" fillId="0" borderId="80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177" fontId="2" fillId="0" borderId="51" xfId="2" applyNumberFormat="1" applyFont="1" applyBorder="1" applyAlignment="1" applyProtection="1">
      <alignment horizontal="center"/>
    </xf>
    <xf numFmtId="177" fontId="2" fillId="0" borderId="49" xfId="2" applyNumberFormat="1" applyFont="1" applyBorder="1" applyAlignment="1" applyProtection="1">
      <alignment horizontal="center"/>
    </xf>
    <xf numFmtId="20" fontId="2" fillId="0" borderId="49" xfId="2" applyNumberFormat="1" applyFont="1" applyBorder="1" applyAlignment="1" applyProtection="1">
      <alignment horizontal="center"/>
      <protection locked="0"/>
    </xf>
    <xf numFmtId="20" fontId="2" fillId="0" borderId="52" xfId="2" applyNumberFormat="1" applyFont="1" applyBorder="1" applyAlignment="1" applyProtection="1">
      <alignment horizontal="center"/>
      <protection locked="0"/>
    </xf>
    <xf numFmtId="0" fontId="2" fillId="0" borderId="51" xfId="2" applyNumberFormat="1" applyFont="1" applyBorder="1" applyAlignment="1" applyProtection="1">
      <alignment horizontal="center"/>
    </xf>
    <xf numFmtId="0" fontId="2" fillId="0" borderId="49" xfId="2" applyNumberFormat="1" applyFont="1" applyBorder="1" applyAlignment="1" applyProtection="1">
      <alignment horizont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1" xfId="2" applyFont="1" applyBorder="1" applyAlignment="1" applyProtection="1">
      <alignment horizontal="left" vertical="center"/>
    </xf>
    <xf numFmtId="0" fontId="8" fillId="0" borderId="42" xfId="2" applyFont="1" applyBorder="1" applyAlignment="1" applyProtection="1">
      <alignment horizontal="left" vertical="center"/>
    </xf>
    <xf numFmtId="0" fontId="4" fillId="0" borderId="42" xfId="2" applyBorder="1" applyAlignment="1"/>
    <xf numFmtId="0" fontId="4" fillId="0" borderId="43" xfId="2" applyBorder="1" applyAlignment="1"/>
    <xf numFmtId="0" fontId="2" fillId="0" borderId="85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0" fontId="2" fillId="0" borderId="45" xfId="2" applyFont="1" applyBorder="1" applyAlignment="1" applyProtection="1">
      <alignment horizontal="left"/>
    </xf>
    <xf numFmtId="0" fontId="2" fillId="0" borderId="122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0" fontId="5" fillId="0" borderId="119" xfId="2" applyFont="1" applyBorder="1" applyAlignment="1" applyProtection="1">
      <alignment horizontal="center" vertical="center"/>
    </xf>
    <xf numFmtId="0" fontId="5" fillId="0" borderId="35" xfId="2" applyFont="1" applyBorder="1" applyAlignment="1" applyProtection="1">
      <alignment horizontal="center" vertical="center"/>
    </xf>
    <xf numFmtId="0" fontId="5" fillId="0" borderId="36" xfId="2" applyFont="1" applyBorder="1" applyAlignment="1" applyProtection="1">
      <alignment horizontal="center" vertical="center"/>
    </xf>
    <xf numFmtId="0" fontId="2" fillId="0" borderId="38" xfId="2" applyFont="1" applyBorder="1" applyAlignment="1" applyProtection="1">
      <alignment horizontal="center" vertical="center"/>
    </xf>
    <xf numFmtId="0" fontId="2" fillId="0" borderId="39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8" fillId="0" borderId="41" xfId="2" applyFont="1" applyBorder="1" applyAlignment="1" applyProtection="1">
      <alignment horizontal="center" vertical="center"/>
    </xf>
    <xf numFmtId="0" fontId="8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</cellXfs>
  <cellStyles count="3">
    <cellStyle name="Euro" xfId="1"/>
    <cellStyle name="Standard" xfId="0" builtinId="0"/>
    <cellStyle name="Standard 2" xfId="2"/>
  </cellStyles>
  <dxfs count="1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1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19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0</xdr:row>
      <xdr:rowOff>76200</xdr:rowOff>
    </xdr:from>
    <xdr:to>
      <xdr:col>5</xdr:col>
      <xdr:colOff>266700</xdr:colOff>
      <xdr:row>2</xdr:row>
      <xdr:rowOff>57150</xdr:rowOff>
    </xdr:to>
    <xdr:pic>
      <xdr:nvPicPr>
        <xdr:cNvPr id="2192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77165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205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206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207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208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209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210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211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212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621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29"/>
  <sheetViews>
    <sheetView tabSelected="1" topLeftCell="A4" zoomScale="85" zoomScaleNormal="85" workbookViewId="0">
      <selection activeCell="B12" sqref="B12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3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50" hidden="1" customWidth="1"/>
    <col min="38" max="38" width="11.42578125" style="50" hidden="1" customWidth="1"/>
    <col min="39" max="39" width="10.5703125" style="50" hidden="1" customWidth="1"/>
    <col min="40" max="40" width="11.140625" style="50" hidden="1" customWidth="1"/>
    <col min="41" max="41" width="10.5703125" style="50" hidden="1" customWidth="1"/>
    <col min="42" max="47" width="10.7109375" style="50" hidden="1" customWidth="1"/>
    <col min="48" max="48" width="11.28515625" style="50" hidden="1" customWidth="1"/>
    <col min="49" max="50" width="10.7109375" style="50" customWidth="1"/>
    <col min="51" max="51" width="10.85546875" style="50" customWidth="1"/>
    <col min="52" max="53" width="2" style="50" customWidth="1"/>
    <col min="54" max="54" width="11" style="50" customWidth="1"/>
    <col min="55" max="55" width="3.140625" style="50" customWidth="1"/>
    <col min="56" max="57" width="2" style="50" customWidth="1"/>
    <col min="58" max="58" width="7.7109375" style="50" customWidth="1"/>
    <col min="59" max="59" width="3.28515625" style="50" customWidth="1"/>
    <col min="60" max="61" width="2" style="50" customWidth="1"/>
    <col min="62" max="62" width="7.7109375" style="50" customWidth="1"/>
    <col min="63" max="63" width="2.28515625" style="50" customWidth="1"/>
    <col min="64" max="65" width="2" style="50" customWidth="1"/>
    <col min="66" max="66" width="7.7109375" style="50" customWidth="1"/>
    <col min="67" max="67" width="2.28515625" style="50" customWidth="1"/>
    <col min="68" max="68" width="2" style="50" customWidth="1"/>
    <col min="69" max="69" width="2" style="50" bestFit="1" customWidth="1"/>
    <col min="70" max="70" width="7.28515625" style="50" bestFit="1" customWidth="1"/>
    <col min="71" max="71" width="2.5703125" style="50" customWidth="1"/>
    <col min="72" max="75" width="7.7109375" style="50" customWidth="1"/>
    <col min="76" max="76" width="7.28515625" style="50" bestFit="1" customWidth="1"/>
    <col min="77" max="16384" width="11.42578125" style="10"/>
  </cols>
  <sheetData>
    <row r="1" spans="1:76" s="4" customFormat="1" ht="67.5" customHeight="1">
      <c r="A1" s="467" t="s">
        <v>22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72"/>
      <c r="S1" s="467" t="s">
        <v>23</v>
      </c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132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ht="27">
      <c r="A2" s="470">
        <f>U4</f>
        <v>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73"/>
      <c r="AI2" s="476"/>
      <c r="AJ2" s="477"/>
      <c r="AK2" s="133"/>
    </row>
    <row r="3" spans="1:76" ht="17.25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73"/>
      <c r="AE3" s="1" t="s">
        <v>83</v>
      </c>
      <c r="AI3" s="24"/>
      <c r="AJ3" s="25"/>
      <c r="AK3" s="133"/>
    </row>
    <row r="4" spans="1:76" ht="27">
      <c r="A4" s="470">
        <f>U6</f>
        <v>0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73"/>
      <c r="T4" s="33" t="s">
        <v>19</v>
      </c>
      <c r="U4" s="479"/>
      <c r="V4" s="480"/>
      <c r="W4" s="480"/>
      <c r="X4" s="480"/>
      <c r="Y4" s="480"/>
      <c r="Z4" s="480"/>
      <c r="AE4" s="148">
        <v>9</v>
      </c>
      <c r="AI4" s="24"/>
      <c r="AJ4" s="25"/>
      <c r="AK4" s="133"/>
    </row>
    <row r="5" spans="1:76" ht="18" customHeight="1">
      <c r="A5" s="471"/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73"/>
      <c r="T5" s="33" t="s">
        <v>35</v>
      </c>
      <c r="U5" s="479"/>
      <c r="V5" s="480"/>
      <c r="W5" s="480"/>
      <c r="X5" s="480"/>
      <c r="Y5" s="480"/>
      <c r="Z5" s="480"/>
      <c r="AI5" s="24"/>
      <c r="AJ5" s="25"/>
      <c r="AK5" s="133"/>
    </row>
    <row r="6" spans="1:76">
      <c r="J6" s="59" t="s">
        <v>15</v>
      </c>
      <c r="K6" s="472">
        <f ca="1">TODAY()</f>
        <v>44464</v>
      </c>
      <c r="L6" s="473"/>
      <c r="M6" s="473"/>
      <c r="N6" s="473"/>
      <c r="O6" s="474"/>
      <c r="P6" s="474"/>
      <c r="Q6" s="25"/>
      <c r="R6" s="25"/>
      <c r="T6" s="33" t="s">
        <v>20</v>
      </c>
      <c r="U6" s="479"/>
      <c r="V6" s="480"/>
      <c r="W6" s="480"/>
      <c r="X6" s="480"/>
      <c r="Y6" s="480"/>
      <c r="Z6" s="480"/>
      <c r="AI6" s="24"/>
      <c r="AJ6" s="25"/>
      <c r="AK6" s="133"/>
    </row>
    <row r="7" spans="1:76">
      <c r="P7" s="24"/>
      <c r="Q7" s="25"/>
      <c r="R7" s="25"/>
      <c r="T7" s="33" t="s">
        <v>67</v>
      </c>
      <c r="U7" s="70"/>
      <c r="V7" s="71"/>
      <c r="W7" s="71"/>
      <c r="X7" s="71"/>
      <c r="Y7" s="71"/>
      <c r="Z7" s="71"/>
      <c r="AI7" s="24"/>
      <c r="AJ7" s="25"/>
      <c r="AK7" s="133"/>
    </row>
    <row r="8" spans="1:76">
      <c r="P8" s="24"/>
      <c r="Q8" s="25"/>
      <c r="R8" s="25"/>
      <c r="T8" s="33" t="s">
        <v>36</v>
      </c>
      <c r="U8" s="479"/>
      <c r="V8" s="480"/>
      <c r="W8" s="480"/>
      <c r="X8" s="480"/>
      <c r="Y8" s="480"/>
      <c r="Z8" s="480"/>
      <c r="AI8" s="24"/>
      <c r="AJ8" s="25"/>
      <c r="AK8" s="133"/>
    </row>
    <row r="9" spans="1:76" hidden="1">
      <c r="T9" s="33" t="s">
        <v>34</v>
      </c>
      <c r="U9" s="53">
        <v>0</v>
      </c>
      <c r="AI9" s="24"/>
      <c r="AJ9" s="25"/>
      <c r="AK9" s="133"/>
    </row>
    <row r="10" spans="1:76" hidden="1">
      <c r="K10" s="46"/>
      <c r="O10" s="45"/>
      <c r="P10" s="24"/>
      <c r="Q10" s="25"/>
      <c r="R10" s="25"/>
      <c r="T10" s="33" t="s">
        <v>17</v>
      </c>
      <c r="U10" s="54">
        <v>0</v>
      </c>
      <c r="AI10" s="24"/>
      <c r="AJ10" s="25"/>
      <c r="AK10" s="133"/>
    </row>
    <row r="11" spans="1:76" hidden="1">
      <c r="K11" s="46"/>
      <c r="O11" s="45"/>
      <c r="P11" s="24"/>
      <c r="Q11" s="25"/>
      <c r="R11" s="25"/>
      <c r="T11" s="33" t="s">
        <v>18</v>
      </c>
      <c r="U11" s="34">
        <f>SUM(U9+U10)</f>
        <v>0</v>
      </c>
      <c r="AI11" s="24"/>
      <c r="AJ11" s="25"/>
      <c r="AK11" s="133"/>
    </row>
    <row r="12" spans="1:76">
      <c r="K12" s="46"/>
      <c r="O12" s="45"/>
      <c r="P12" s="24"/>
      <c r="Q12" s="25"/>
      <c r="R12" s="25"/>
      <c r="AI12" s="24"/>
      <c r="AJ12" s="25"/>
      <c r="AK12" s="133"/>
    </row>
    <row r="13" spans="1:76">
      <c r="K13" s="46"/>
      <c r="O13" s="45"/>
      <c r="P13" s="24"/>
      <c r="Q13" s="25"/>
      <c r="R13" s="25"/>
      <c r="AI13" s="24"/>
      <c r="AJ13" s="25"/>
      <c r="AK13" s="133"/>
    </row>
    <row r="14" spans="1:76">
      <c r="K14" s="46"/>
      <c r="O14" s="45"/>
      <c r="P14" s="24"/>
      <c r="Q14" s="25"/>
      <c r="R14" s="25"/>
      <c r="AI14" s="24"/>
      <c r="AJ14" s="25"/>
      <c r="AK14" s="133"/>
    </row>
    <row r="15" spans="1:76">
      <c r="K15" s="46"/>
      <c r="O15" s="45"/>
      <c r="P15" s="24"/>
      <c r="Q15" s="25"/>
      <c r="R15" s="25"/>
      <c r="AI15" s="24"/>
      <c r="AJ15" s="25"/>
      <c r="AK15" s="133"/>
    </row>
    <row r="16" spans="1:76" ht="33.75">
      <c r="A16" s="147" t="s">
        <v>78</v>
      </c>
      <c r="K16" s="46"/>
      <c r="O16" s="45"/>
      <c r="P16" s="24"/>
      <c r="Q16" s="25"/>
      <c r="R16" s="25"/>
      <c r="AI16" s="24"/>
      <c r="AJ16" s="25"/>
      <c r="AK16" s="133"/>
    </row>
    <row r="17" spans="1:76">
      <c r="K17" s="46"/>
      <c r="O17" s="45"/>
      <c r="P17" s="24"/>
      <c r="Q17" s="25"/>
      <c r="R17" s="25"/>
      <c r="AI17" s="24"/>
      <c r="AJ17" s="25"/>
      <c r="AK17" s="133"/>
    </row>
    <row r="18" spans="1:76" ht="18">
      <c r="B18" s="32" t="s">
        <v>77</v>
      </c>
      <c r="K18" s="46"/>
      <c r="O18" s="45"/>
      <c r="P18" s="19"/>
      <c r="T18" s="32" t="s">
        <v>77</v>
      </c>
      <c r="U18" s="60"/>
      <c r="V18" s="60"/>
      <c r="W18" s="60"/>
      <c r="X18" s="60"/>
      <c r="Y18" s="61"/>
      <c r="Z18" s="61"/>
      <c r="AA18" s="61"/>
      <c r="AB18" s="61"/>
      <c r="AC18" s="61"/>
      <c r="AD18" s="62"/>
      <c r="AE18" s="60"/>
      <c r="AF18" s="60"/>
      <c r="AG18" s="60"/>
      <c r="AH18" s="60"/>
      <c r="AI18" s="60"/>
      <c r="AJ18" s="63"/>
    </row>
    <row r="19" spans="1:76" ht="21.6" customHeight="1">
      <c r="A19" s="128" t="s">
        <v>9</v>
      </c>
      <c r="B19" s="128" t="s">
        <v>11</v>
      </c>
      <c r="C19" s="128" t="s">
        <v>14</v>
      </c>
      <c r="D19" s="469" t="s">
        <v>2</v>
      </c>
      <c r="E19" s="469"/>
      <c r="F19" s="469"/>
      <c r="G19" s="129"/>
      <c r="H19" s="469" t="s">
        <v>32</v>
      </c>
      <c r="I19" s="469"/>
      <c r="J19" s="469"/>
      <c r="K19" s="130"/>
      <c r="L19" s="469" t="s">
        <v>1</v>
      </c>
      <c r="M19" s="469"/>
      <c r="N19" s="469"/>
      <c r="O19" s="47"/>
      <c r="P19" s="20"/>
      <c r="R19" s="475" t="s">
        <v>73</v>
      </c>
      <c r="S19" s="64" t="s">
        <v>9</v>
      </c>
      <c r="T19" s="33" t="s">
        <v>21</v>
      </c>
      <c r="U19" s="64" t="s">
        <v>14</v>
      </c>
      <c r="V19" s="478" t="s">
        <v>2</v>
      </c>
      <c r="W19" s="478"/>
      <c r="X19" s="478"/>
      <c r="Y19" s="64" t="s">
        <v>12</v>
      </c>
      <c r="Z19" s="478" t="s">
        <v>32</v>
      </c>
      <c r="AA19" s="478"/>
      <c r="AB19" s="478"/>
      <c r="AC19" s="64" t="s">
        <v>33</v>
      </c>
      <c r="AD19" s="65" t="s">
        <v>38</v>
      </c>
      <c r="AE19" s="478" t="s">
        <v>1</v>
      </c>
      <c r="AF19" s="478"/>
      <c r="AG19" s="478"/>
      <c r="AH19" s="64" t="s">
        <v>10</v>
      </c>
      <c r="AI19" s="64" t="s">
        <v>74</v>
      </c>
      <c r="AJ19" s="63"/>
      <c r="AL19" s="51" t="s">
        <v>39</v>
      </c>
      <c r="AM19" s="50">
        <v>1</v>
      </c>
      <c r="AN19" s="50">
        <v>2</v>
      </c>
      <c r="AO19" s="50">
        <v>3</v>
      </c>
      <c r="AP19" s="50">
        <v>4</v>
      </c>
      <c r="AV19" s="50" t="s">
        <v>72</v>
      </c>
    </row>
    <row r="20" spans="1:76" ht="5.45" customHeight="1">
      <c r="G20" s="1"/>
      <c r="K20" s="46"/>
      <c r="O20" s="46"/>
      <c r="P20" s="19"/>
      <c r="R20" s="475"/>
      <c r="U20" s="60"/>
      <c r="V20" s="60"/>
      <c r="W20" s="60"/>
      <c r="X20" s="60"/>
      <c r="Y20" s="60"/>
      <c r="Z20" s="61"/>
      <c r="AA20" s="61"/>
      <c r="AB20" s="61"/>
      <c r="AC20" s="61"/>
      <c r="AD20" s="62"/>
      <c r="AE20" s="60"/>
      <c r="AF20" s="60"/>
      <c r="AG20" s="60"/>
      <c r="AH20" s="61"/>
      <c r="AI20" s="60"/>
      <c r="AJ20" s="63"/>
      <c r="AM20" s="52"/>
      <c r="AN20" s="52"/>
      <c r="AO20" s="52"/>
      <c r="AP20" s="52"/>
      <c r="AQ20" s="52"/>
      <c r="AR20" s="52"/>
      <c r="AS20" s="52"/>
      <c r="AT20" s="52"/>
      <c r="AU20" s="52"/>
      <c r="AW20" s="52"/>
      <c r="AX20" s="52"/>
      <c r="AY20" s="52"/>
    </row>
    <row r="21" spans="1:76">
      <c r="A21" s="12">
        <f>VLOOKUP(1,S21:AI29,1,0)</f>
        <v>1</v>
      </c>
      <c r="B21" s="11" t="str">
        <f>VLOOKUP(1,S21:AI29,2,0)</f>
        <v>Team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7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7">
        <f>VLOOKUP(1,S21:AI24,16,0)</f>
        <v>0</v>
      </c>
      <c r="P21" s="19"/>
      <c r="R21" s="144">
        <v>1</v>
      </c>
      <c r="S21" s="123">
        <f t="shared" ref="S21:S29" si="0">AK21</f>
        <v>1</v>
      </c>
      <c r="T21" s="44" t="s">
        <v>137</v>
      </c>
      <c r="U21" s="66">
        <f t="shared" ref="U21:U29" si="1">(V21+X21)/2</f>
        <v>0</v>
      </c>
      <c r="V21" s="66">
        <f>SUMIF(Spielplan!G$6:G$164,T21,Spielplan!X$6:X$164)+SUMIF(Spielplan!K$6:K$164,T21,Spielplan!Z$6:Z$164)</f>
        <v>0</v>
      </c>
      <c r="W21" s="66" t="s">
        <v>0</v>
      </c>
      <c r="X21" s="66">
        <f>SUMIF(Spielplan!G$6:G$164,T21,Spielplan!Z$6:Z$164)+SUMIF(Spielplan!K$6:K$164,T21,Spielplan!X$6:X$164)</f>
        <v>0</v>
      </c>
      <c r="Y21" s="66">
        <f t="shared" ref="Y21:Y29" si="2">V21-X21</f>
        <v>0</v>
      </c>
      <c r="Z21" s="66">
        <f>SUMIF(Spielplan!G$6:G$164,T21,Spielplan!AB$6:AB$164)+SUMIF(Spielplan!K$6:K$164,T21,Spielplan!AD$6:AD$164)</f>
        <v>0</v>
      </c>
      <c r="AA21" s="66" t="s">
        <v>0</v>
      </c>
      <c r="AB21" s="66">
        <f>SUMIF(Spielplan!G$6:G$164,T21,Spielplan!AD$6:AD$164)+SUMIF(Spielplan!K$6:K$164,T21,Spielplan!AB$6:AB$164)</f>
        <v>0</v>
      </c>
      <c r="AC21" s="67">
        <f t="shared" ref="AC21:AC29" si="3">Z21-AB21</f>
        <v>0</v>
      </c>
      <c r="AD21" s="131">
        <f t="shared" ref="AD21:AD29" si="4">IF(AB21=0,0,Z21/AB21)</f>
        <v>0</v>
      </c>
      <c r="AE21" s="66">
        <f>SUMIF(Spielplan!G$6:G$164,T21,Spielplan!AF$6:AF$164)+SUMIF(Spielplan!K$6:K$164,T21,Spielplan!AH$6:AH$164)</f>
        <v>0</v>
      </c>
      <c r="AF21" s="66" t="s">
        <v>0</v>
      </c>
      <c r="AG21" s="66">
        <f>SUMIF(Spielplan!G$6:G$164,T21,Spielplan!AH$6:AH$164)+SUMIF(Spielplan!K$6:K$164,T21,Spielplan!AF$6:AF$164)</f>
        <v>0</v>
      </c>
      <c r="AH21" s="67">
        <f t="shared" ref="AH21:AH29" si="5">AE21-AG21</f>
        <v>0</v>
      </c>
      <c r="AI21" s="145">
        <f t="shared" ref="AI21:AI29" si="6">AK21</f>
        <v>1</v>
      </c>
      <c r="AJ21" s="63"/>
      <c r="AK21" s="50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4">
        <f t="shared" ref="AL21:AL29" si="8">SUM(AM21:BA21)</f>
        <v>8.0000000000000002E-8</v>
      </c>
      <c r="AM21" s="126" t="s">
        <v>71</v>
      </c>
      <c r="AN21" s="124">
        <f>SUM(IF(V21&gt;V$22,1,0)+IF(Y21&gt;Y$22,0.1,0)+IF(AC21&gt;AC$22,0.01,0)+IF(AD21&gt;AD$22,0.001,0)+IF(AH21&gt;AH$22,0.0001,0))</f>
        <v>0</v>
      </c>
      <c r="AO21" s="124">
        <f>SUM(IF(V21&gt;V$23,1,0)+IF(Y21&gt;Y$23,0.1,0)+IF(AC21&gt;AC$23,0.01,0)+IF(AD21&gt;AD$23,0.001,0)+IF(AH21&gt;AH$23,0.0001,0))</f>
        <v>0</v>
      </c>
      <c r="AP21" s="124">
        <f>SUM(IF(V21&gt;V$24,1,0)+IF(Y21&gt;Y$24,0.1,0)+IF(AC21&gt;AC$24,0.01,0)+IF(AD21&gt;AD$24,0.001,0)+IF(AH21&gt;AH$24,0.0001,0))</f>
        <v>0</v>
      </c>
      <c r="AQ21" s="124">
        <f>SUM(IF(V21&gt;V$25,1,0)+IF(Y21&gt;Y$25,0.1,0)+IF(AC21&gt;AC$25,0.01,0)+IF(AD21&gt;AD$25,0.001,0)+IF(AH21&gt;AH$25,0.0001,0))</f>
        <v>0</v>
      </c>
      <c r="AR21" s="124">
        <f>SUM(IF(V21&gt;V$26,1,0)+IF(Y21&gt;Y$26,0.1,0)+IF(AC21&gt;AC$26,0.01,0)+IF(AD21&gt;AD$26,0.001,0)+IF(AH21&gt;AH$26,0.0001,0))</f>
        <v>0</v>
      </c>
      <c r="AS21" s="124">
        <f t="shared" ref="AS21:AS26" si="9">SUM(IF(V21&gt;V$27,1,0)+IF(Y21&gt;Y$27,0.1,0)+IF(AC21&gt;AC$27,0.01,0)+IF(AD21&gt;AD$27,0.001,0)+IF(AH21&gt;AH$27,0.0001,0))</f>
        <v>0</v>
      </c>
      <c r="AT21" s="124">
        <f t="shared" ref="AT21:AT27" si="10">SUM(IF(V21&gt;V$28,1,0)+IF(Y21&gt;Y$28,0.1,0)+IF(AC21&gt;AC$28,0.01,0)+IF(AD21&gt;AD$28,0.001,0)+IF(AH21&gt;AH$28,0.0001,0))</f>
        <v>0</v>
      </c>
      <c r="AU21" s="124">
        <f t="shared" ref="AU21:AU28" si="11">SUM(IF(V21&gt;V$29,1,0)+IF(Y21&gt;Y$29,0.1,0)+IF(AC21&gt;AC$29,0.01,0)+IF(AD21&gt;AD$29,0.001,0)+IF(AH21&gt;AH$29,0.0001,0))</f>
        <v>0</v>
      </c>
      <c r="AV21" s="125">
        <f t="shared" ref="AV21:AV29" si="12">(9-R21)*0.00000001</f>
        <v>8.0000000000000002E-8</v>
      </c>
      <c r="AW21" s="124"/>
      <c r="AX21" s="124"/>
      <c r="AY21" s="124"/>
      <c r="AZ21" s="124"/>
      <c r="BA21" s="125"/>
    </row>
    <row r="22" spans="1:76" s="23" customFormat="1">
      <c r="A22" s="12">
        <f>VLOOKUP(2,S21:AI29,1,0)</f>
        <v>2</v>
      </c>
      <c r="B22" s="11" t="str">
        <f>VLOOKUP(2,S21:AI29,2,0)</f>
        <v>Team 2</v>
      </c>
      <c r="C22" s="21">
        <f>VLOOKUP(2,S21:AI29,3,0)</f>
        <v>0</v>
      </c>
      <c r="D22" s="21">
        <f>VLOOKUP(2,S21:AI29,4,0)</f>
        <v>0</v>
      </c>
      <c r="E22" s="21" t="s">
        <v>0</v>
      </c>
      <c r="F22" s="21">
        <f>VLOOKUP(2,S21:AI29,6,0)</f>
        <v>0</v>
      </c>
      <c r="G22" s="9"/>
      <c r="H22" s="12">
        <f>VLOOKUP(2,S21:AI29,8,0)</f>
        <v>0</v>
      </c>
      <c r="I22" s="21" t="s">
        <v>0</v>
      </c>
      <c r="J22" s="12">
        <f>VLOOKUP(2,S21:AI29,10,0)</f>
        <v>0</v>
      </c>
      <c r="K22" s="47">
        <f>VLOOKUP(2,S21:AI29,11,0)</f>
        <v>0</v>
      </c>
      <c r="L22" s="21">
        <f>VLOOKUP(2,S21:AI29,13,0)</f>
        <v>0</v>
      </c>
      <c r="M22" s="21" t="s">
        <v>0</v>
      </c>
      <c r="N22" s="21">
        <f>VLOOKUP(2,S21:AI29,15,0)</f>
        <v>0</v>
      </c>
      <c r="O22" s="47">
        <f>VLOOKUP(2,S21:AI24,16,0)</f>
        <v>0</v>
      </c>
      <c r="P22" s="19"/>
      <c r="R22" s="144">
        <v>2</v>
      </c>
      <c r="S22" s="123">
        <f t="shared" si="0"/>
        <v>2</v>
      </c>
      <c r="T22" s="44" t="s">
        <v>138</v>
      </c>
      <c r="U22" s="66">
        <f t="shared" si="1"/>
        <v>0</v>
      </c>
      <c r="V22" s="66">
        <f>SUMIF(Spielplan!G$6:G$164,T22,Spielplan!X$6:X$164)+SUMIF(Spielplan!K$6:K$164,T22,Spielplan!Z$6:Z$164)</f>
        <v>0</v>
      </c>
      <c r="W22" s="68" t="s">
        <v>0</v>
      </c>
      <c r="X22" s="66">
        <f>SUMIF(Spielplan!G$6:G$164,T22,Spielplan!Z$6:Z$164)+SUMIF(Spielplan!K$6:K$164,T22,Spielplan!X$6:X$164)</f>
        <v>0</v>
      </c>
      <c r="Y22" s="66">
        <f t="shared" si="2"/>
        <v>0</v>
      </c>
      <c r="Z22" s="66">
        <f>SUMIF(Spielplan!G$6:G$164,T22,Spielplan!AB$6:AB$164)+SUMIF(Spielplan!K$6:K$164,T22,Spielplan!AD$6:AD$164)</f>
        <v>0</v>
      </c>
      <c r="AA22" s="68" t="s">
        <v>0</v>
      </c>
      <c r="AB22" s="66">
        <f>SUMIF(Spielplan!G$6:G$164,T22,Spielplan!AD$6:AD$164)+SUMIF(Spielplan!K$6:K$164,T22,Spielplan!AB$6:AB$164)</f>
        <v>0</v>
      </c>
      <c r="AC22" s="67">
        <f t="shared" si="3"/>
        <v>0</v>
      </c>
      <c r="AD22" s="131">
        <f t="shared" si="4"/>
        <v>0</v>
      </c>
      <c r="AE22" s="66">
        <f>SUMIF(Spielplan!G$6:G$164,T22,Spielplan!AF$6:AF$164)+SUMIF(Spielplan!K$6:K$164,T22,Spielplan!AH$6:AH$164)</f>
        <v>0</v>
      </c>
      <c r="AF22" s="68" t="s">
        <v>0</v>
      </c>
      <c r="AG22" s="66">
        <f>SUMIF(Spielplan!G$6:G$164,T22,Spielplan!AH$6:AH$164)+SUMIF(Spielplan!K$6:K$164,T22,Spielplan!AF$6:AF$164)</f>
        <v>0</v>
      </c>
      <c r="AH22" s="67">
        <f t="shared" si="5"/>
        <v>0</v>
      </c>
      <c r="AI22" s="145">
        <f t="shared" si="6"/>
        <v>2</v>
      </c>
      <c r="AJ22" s="69"/>
      <c r="AK22" s="50">
        <f t="shared" si="7"/>
        <v>2</v>
      </c>
      <c r="AL22" s="124">
        <f t="shared" si="8"/>
        <v>7.0000000000000005E-8</v>
      </c>
      <c r="AM22" s="124">
        <f t="shared" ref="AM22:AM29" si="13">SUM(IF(V22&gt;V$21,1,0)+IF(Y22&gt;Y$21,0.1,0)+IF(AC22&gt;AC$21,0.01,0)+IF(AD22&gt;AD$21,0.001,0)+IF(AH22&gt;AH$21,0.0001,0))</f>
        <v>0</v>
      </c>
      <c r="AN22" s="127" t="s">
        <v>71</v>
      </c>
      <c r="AO22" s="124">
        <f>SUM(IF(V22&gt;V$23,1,0)+IF(Y22&gt;Y$23,0.1,0)+IF(AC22&gt;AC$23,0.01,0)+IF(AD22&gt;AD$23,0.001,0)+IF(AH22&gt;AH$23,0.0001,0))</f>
        <v>0</v>
      </c>
      <c r="AP22" s="124">
        <f>SUM(IF(V22&gt;V$24,1,0)+IF(Y22&gt;Y$24,0.1,0)+IF(AC22&gt;AC$24,0.01,0)+IF(AD22&gt;AD$24,0.001,0)+IF(AH22&gt;AH$24,0.0001,0))</f>
        <v>0</v>
      </c>
      <c r="AQ22" s="124">
        <f>SUM(IF(V22&gt;V$25,1,0)+IF(Y22&gt;Y$25,0.1,0)+IF(AC22&gt;AC$25,0.01,0)+IF(AD22&gt;AD$25,0.001,0)+IF(AH22&gt;AH$25,0.0001,0))</f>
        <v>0</v>
      </c>
      <c r="AR22" s="124">
        <f>SUM(IF(V22&gt;V$26,1,0)+IF(Y22&gt;Y$26,0.1,0)+IF(AC22&gt;AC$26,0.01,0)+IF(AD22&gt;AD$26,0.001,0)+IF(AH22&gt;AH$26,0.0001,0))</f>
        <v>0</v>
      </c>
      <c r="AS22" s="124">
        <f t="shared" si="9"/>
        <v>0</v>
      </c>
      <c r="AT22" s="124">
        <f t="shared" si="10"/>
        <v>0</v>
      </c>
      <c r="AU22" s="124">
        <f t="shared" si="11"/>
        <v>0</v>
      </c>
      <c r="AV22" s="125">
        <f t="shared" si="12"/>
        <v>7.0000000000000005E-8</v>
      </c>
      <c r="AW22" s="124"/>
      <c r="AX22" s="124"/>
      <c r="AY22" s="124"/>
      <c r="AZ22" s="124"/>
      <c r="BA22" s="125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2"/>
    </row>
    <row r="23" spans="1:76" s="23" customFormat="1">
      <c r="A23" s="12">
        <f>VLOOKUP(3,S21:AI29,1,0)</f>
        <v>3</v>
      </c>
      <c r="B23" s="22" t="str">
        <f>VLOOKUP(3,S21:AI29,2,0)</f>
        <v>Team 3</v>
      </c>
      <c r="C23" s="21">
        <f>VLOOKUP(3,S21:AI29,3,0)</f>
        <v>0</v>
      </c>
      <c r="D23" s="21">
        <f>VLOOKUP(3,S21:AI29,4,0)</f>
        <v>0</v>
      </c>
      <c r="E23" s="21" t="s">
        <v>0</v>
      </c>
      <c r="F23" s="21">
        <f>VLOOKUP(3,S21:AI29,6,0)</f>
        <v>0</v>
      </c>
      <c r="G23" s="9"/>
      <c r="H23" s="12">
        <f>VLOOKUP(3,S21:AI29,8,0)</f>
        <v>0</v>
      </c>
      <c r="I23" s="21" t="s">
        <v>0</v>
      </c>
      <c r="J23" s="12">
        <f>VLOOKUP(3,S21:AI29,10,0)</f>
        <v>0</v>
      </c>
      <c r="K23" s="47">
        <f>VLOOKUP(3,S21:AI29,11,0)</f>
        <v>0</v>
      </c>
      <c r="L23" s="21">
        <f>VLOOKUP(3,S21:AI29,13,0)</f>
        <v>0</v>
      </c>
      <c r="M23" s="21" t="s">
        <v>0</v>
      </c>
      <c r="N23" s="21">
        <f>VLOOKUP(3,S21:AI29,15,0)</f>
        <v>0</v>
      </c>
      <c r="O23" s="47">
        <f>VLOOKUP(3,S21:AI24,16,0)</f>
        <v>0</v>
      </c>
      <c r="P23" s="19"/>
      <c r="R23" s="144">
        <v>3</v>
      </c>
      <c r="S23" s="123">
        <f t="shared" si="0"/>
        <v>3</v>
      </c>
      <c r="T23" s="44" t="s">
        <v>139</v>
      </c>
      <c r="U23" s="66">
        <f t="shared" si="1"/>
        <v>0</v>
      </c>
      <c r="V23" s="66">
        <f>SUMIF(Spielplan!G$6:G$164,T23,Spielplan!X$6:X$164)+SUMIF(Spielplan!K$6:K$164,T23,Spielplan!Z$6:Z$164)</f>
        <v>0</v>
      </c>
      <c r="W23" s="68" t="s">
        <v>0</v>
      </c>
      <c r="X23" s="66">
        <f>SUMIF(Spielplan!G$6:G$164,T23,Spielplan!Z$6:Z$164)+SUMIF(Spielplan!K$6:K$164,T23,Spielplan!X$6:X$164)</f>
        <v>0</v>
      </c>
      <c r="Y23" s="66">
        <f t="shared" si="2"/>
        <v>0</v>
      </c>
      <c r="Z23" s="66">
        <f>SUMIF(Spielplan!G$6:G$164,T23,Spielplan!AB$6:AB$164)+SUMIF(Spielplan!K$6:K$164,T23,Spielplan!AD$6:AD$164)</f>
        <v>0</v>
      </c>
      <c r="AA23" s="68" t="s">
        <v>0</v>
      </c>
      <c r="AB23" s="66">
        <f>SUMIF(Spielplan!G$6:G$164,T23,Spielplan!AD$6:AD$164)+SUMIF(Spielplan!K$6:K$164,T23,Spielplan!AB$6:AB$164)</f>
        <v>0</v>
      </c>
      <c r="AC23" s="67">
        <f t="shared" si="3"/>
        <v>0</v>
      </c>
      <c r="AD23" s="131">
        <f t="shared" si="4"/>
        <v>0</v>
      </c>
      <c r="AE23" s="66">
        <f>SUMIF(Spielplan!G$6:G$164,T23,Spielplan!AF$6:AF$164)+SUMIF(Spielplan!K$6:K$164,T23,Spielplan!AH$6:AH$164)</f>
        <v>0</v>
      </c>
      <c r="AF23" s="68" t="s">
        <v>0</v>
      </c>
      <c r="AG23" s="66">
        <f>SUMIF(Spielplan!G$6:G$164,T23,Spielplan!AH$6:AH$164)+SUMIF(Spielplan!K$6:K$164,T23,Spielplan!AF$6:AF$164)</f>
        <v>0</v>
      </c>
      <c r="AH23" s="67">
        <f t="shared" si="5"/>
        <v>0</v>
      </c>
      <c r="AI23" s="145">
        <f t="shared" si="6"/>
        <v>3</v>
      </c>
      <c r="AJ23" s="69"/>
      <c r="AK23" s="50">
        <f t="shared" si="7"/>
        <v>3</v>
      </c>
      <c r="AL23" s="124">
        <f t="shared" si="8"/>
        <v>6.0000000000000008E-8</v>
      </c>
      <c r="AM23" s="124">
        <f t="shared" si="13"/>
        <v>0</v>
      </c>
      <c r="AN23" s="124">
        <f t="shared" ref="AN23:AN29" si="14">SUM(IF(V23&gt;V$22,1,0)+IF(Y23&gt;Y$22,0.1,0)+IF(AC23&gt;AC$22,0.01,0)+IF(AD23&gt;AD$22,0.001,0)+IF(AH23&gt;AH$22,0.0001,0))</f>
        <v>0</v>
      </c>
      <c r="AO23" s="127" t="s">
        <v>71</v>
      </c>
      <c r="AP23" s="124">
        <f>SUM(IF(V23&gt;V$24,1,0)+IF(Y23&gt;Y$24,0.1,0)+IF(AC23&gt;AC$24,0.01,0)+IF(AD23&gt;AD$24,0.001,0)+IF(AH23&gt;AH$24,0.0001,0))</f>
        <v>0</v>
      </c>
      <c r="AQ23" s="124">
        <f>SUM(IF(V23&gt;V$25,1,0)+IF(Y23&gt;Y$25,0.1,0)+IF(AC23&gt;AC$25,0.01,0)+IF(AD23&gt;AD$25,0.001,0)+IF(AH23&gt;AH$25,0.0001,0))</f>
        <v>0</v>
      </c>
      <c r="AR23" s="124">
        <f>SUM(IF(V23&gt;V$26,1,0)+IF(Y23&gt;Y$26,0.1,0)+IF(AC23&gt;AC$26,0.01,0)+IF(AD23&gt;AD$26,0.001,0)+IF(AH23&gt;AH$26,0.0001,0))</f>
        <v>0</v>
      </c>
      <c r="AS23" s="124">
        <f t="shared" si="9"/>
        <v>0</v>
      </c>
      <c r="AT23" s="124">
        <f t="shared" si="10"/>
        <v>0</v>
      </c>
      <c r="AU23" s="124">
        <f t="shared" si="11"/>
        <v>0</v>
      </c>
      <c r="AV23" s="125">
        <f t="shared" si="12"/>
        <v>6.0000000000000008E-8</v>
      </c>
      <c r="AW23" s="124"/>
      <c r="AX23" s="124"/>
      <c r="AY23" s="124"/>
      <c r="AZ23" s="124"/>
      <c r="BA23" s="125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2"/>
    </row>
    <row r="24" spans="1:76" s="23" customFormat="1">
      <c r="A24" s="12">
        <f>VLOOKUP(4,S21:AI29,1,0)</f>
        <v>4</v>
      </c>
      <c r="B24" s="22" t="str">
        <f>VLOOKUP(4,S21:AI29,2,0)</f>
        <v>Team 4</v>
      </c>
      <c r="C24" s="21">
        <f>VLOOKUP(4,S21:AI29,3,0)</f>
        <v>0</v>
      </c>
      <c r="D24" s="21">
        <f>VLOOKUP(4,S21:AI29,4,0)</f>
        <v>0</v>
      </c>
      <c r="E24" s="21" t="s">
        <v>0</v>
      </c>
      <c r="F24" s="21">
        <f>VLOOKUP(4,S21:AI29,6,0)</f>
        <v>0</v>
      </c>
      <c r="G24" s="9"/>
      <c r="H24" s="12">
        <f>VLOOKUP(4,S21:AI29,8,0)</f>
        <v>0</v>
      </c>
      <c r="I24" s="21" t="s">
        <v>0</v>
      </c>
      <c r="J24" s="12">
        <f>VLOOKUP(4,S21:AI29,10,0)</f>
        <v>0</v>
      </c>
      <c r="K24" s="47">
        <f>VLOOKUP(4,S21:AI29,11,0)</f>
        <v>0</v>
      </c>
      <c r="L24" s="21">
        <f>VLOOKUP(4,S21:AI29,13,0)</f>
        <v>0</v>
      </c>
      <c r="M24" s="21" t="s">
        <v>0</v>
      </c>
      <c r="N24" s="21">
        <f>VLOOKUP(4,S21:AI29,15,0)</f>
        <v>0</v>
      </c>
      <c r="O24" s="47">
        <f t="shared" ref="O24:O29" si="15">VLOOKUP(4,S21:AI24,16,0)</f>
        <v>0</v>
      </c>
      <c r="P24" s="19"/>
      <c r="R24" s="144">
        <v>4</v>
      </c>
      <c r="S24" s="123">
        <f t="shared" si="0"/>
        <v>4</v>
      </c>
      <c r="T24" s="44" t="s">
        <v>142</v>
      </c>
      <c r="U24" s="66">
        <f t="shared" si="1"/>
        <v>0</v>
      </c>
      <c r="V24" s="66">
        <f>SUMIF(Spielplan!G$6:G$164,T24,Spielplan!X$6:X$164)+SUMIF(Spielplan!K$6:K$164,T24,Spielplan!Z$6:Z$164)</f>
        <v>0</v>
      </c>
      <c r="W24" s="68" t="s">
        <v>0</v>
      </c>
      <c r="X24" s="66">
        <f>SUMIF(Spielplan!G$6:G$164,T24,Spielplan!Z$6:Z$164)+SUMIF(Spielplan!K$6:K$164,T24,Spielplan!X$6:X$164)</f>
        <v>0</v>
      </c>
      <c r="Y24" s="66">
        <f t="shared" si="2"/>
        <v>0</v>
      </c>
      <c r="Z24" s="66">
        <f>SUMIF(Spielplan!G$6:G$164,T24,Spielplan!AB$6:AB$164)+SUMIF(Spielplan!K$6:K$164,T24,Spielplan!AD$6:AD$164)</f>
        <v>0</v>
      </c>
      <c r="AA24" s="68" t="s">
        <v>0</v>
      </c>
      <c r="AB24" s="66">
        <f>SUMIF(Spielplan!G$6:G$164,T24,Spielplan!AD$6:AD$164)+SUMIF(Spielplan!K$6:K$164,T24,Spielplan!AB$6:AB$164)</f>
        <v>0</v>
      </c>
      <c r="AC24" s="67">
        <f t="shared" si="3"/>
        <v>0</v>
      </c>
      <c r="AD24" s="131">
        <f t="shared" si="4"/>
        <v>0</v>
      </c>
      <c r="AE24" s="66">
        <f>SUMIF(Spielplan!G$6:G$164,T24,Spielplan!AF$6:AF$164)+SUMIF(Spielplan!K$6:K$164,T24,Spielplan!AH$6:AH$164)</f>
        <v>0</v>
      </c>
      <c r="AF24" s="68" t="s">
        <v>0</v>
      </c>
      <c r="AG24" s="66">
        <f>SUMIF(Spielplan!G$6:G$164,T24,Spielplan!AH$6:AH$164)+SUMIF(Spielplan!K$6:K$164,T24,Spielplan!AF$6:AF$164)</f>
        <v>0</v>
      </c>
      <c r="AH24" s="67">
        <f t="shared" si="5"/>
        <v>0</v>
      </c>
      <c r="AI24" s="145">
        <f t="shared" si="6"/>
        <v>4</v>
      </c>
      <c r="AJ24" s="69"/>
      <c r="AK24" s="50">
        <f t="shared" si="7"/>
        <v>4</v>
      </c>
      <c r="AL24" s="124">
        <f t="shared" si="8"/>
        <v>4.9999999999999998E-8</v>
      </c>
      <c r="AM24" s="124">
        <f t="shared" si="13"/>
        <v>0</v>
      </c>
      <c r="AN24" s="124">
        <f t="shared" si="14"/>
        <v>0</v>
      </c>
      <c r="AO24" s="124">
        <f t="shared" ref="AO24:AO29" si="16">SUM(IF(V24&gt;V$23,1,0)+IF(Y24&gt;Y$23,0.1,0)+IF(AC24&gt;AC$23,0.01,0)+IF(AD24&gt;AD$23,0.001,0)+IF(AH24&gt;AH$23,0.0001,0))</f>
        <v>0</v>
      </c>
      <c r="AP24" s="127" t="s">
        <v>71</v>
      </c>
      <c r="AQ24" s="124">
        <f>SUM(IF(V24&gt;V$25,1,0)+IF(Y24&gt;Y$25,0.1,0)+IF(AC24&gt;AC$25,0.01,0)+IF(AD24&gt;AD$25,0.001,0)+IF(AH24&gt;AH$25,0.0001,0))</f>
        <v>0</v>
      </c>
      <c r="AR24" s="124">
        <f>SUM(IF(V24&gt;V$26,1,0)+IF(Y24&gt;Y$26,0.1,0)+IF(AC24&gt;AC$26,0.01,0)+IF(AD24&gt;AD$26,0.001,0)+IF(AH24&gt;AH$26,0.0001,0))</f>
        <v>0</v>
      </c>
      <c r="AS24" s="124">
        <f t="shared" si="9"/>
        <v>0</v>
      </c>
      <c r="AT24" s="124">
        <f t="shared" si="10"/>
        <v>0</v>
      </c>
      <c r="AU24" s="124">
        <f t="shared" si="11"/>
        <v>0</v>
      </c>
      <c r="AV24" s="125">
        <f t="shared" si="12"/>
        <v>4.9999999999999998E-8</v>
      </c>
      <c r="AW24" s="124"/>
      <c r="AX24" s="124"/>
      <c r="AY24" s="124"/>
      <c r="AZ24" s="124"/>
      <c r="BA24" s="125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2"/>
    </row>
    <row r="25" spans="1:76" s="23" customFormat="1">
      <c r="A25" s="12">
        <f>VLOOKUP(5,S21:AI29,1,0)</f>
        <v>5</v>
      </c>
      <c r="B25" s="22" t="str">
        <f>VLOOKUP(5,S21:AI29,2,0)</f>
        <v>Team 5</v>
      </c>
      <c r="C25" s="21">
        <f>VLOOKUP(5,S21:AI29,3,0)</f>
        <v>0</v>
      </c>
      <c r="D25" s="21">
        <f>VLOOKUP(5,S21:AI29,4,0)</f>
        <v>0</v>
      </c>
      <c r="E25" s="21" t="s">
        <v>0</v>
      </c>
      <c r="F25" s="21">
        <f>VLOOKUP(5,S21:AI29,6,0)</f>
        <v>0</v>
      </c>
      <c r="G25" s="9"/>
      <c r="H25" s="12">
        <f>VLOOKUP(5,S21:AI29,8,0)</f>
        <v>0</v>
      </c>
      <c r="I25" s="21" t="s">
        <v>0</v>
      </c>
      <c r="J25" s="12">
        <f>VLOOKUP(5,S21:AI29,10,0)</f>
        <v>0</v>
      </c>
      <c r="K25" s="47">
        <f>VLOOKUP(5,S21:AI29,11,0)</f>
        <v>0</v>
      </c>
      <c r="L25" s="21">
        <f>VLOOKUP(5,S21:AI29,13,0)</f>
        <v>0</v>
      </c>
      <c r="M25" s="21" t="s">
        <v>0</v>
      </c>
      <c r="N25" s="21">
        <f>VLOOKUP(5,S21:AI29,15,0)</f>
        <v>0</v>
      </c>
      <c r="O25" s="47">
        <f t="shared" si="15"/>
        <v>0</v>
      </c>
      <c r="P25" s="19"/>
      <c r="R25" s="144">
        <v>5</v>
      </c>
      <c r="S25" s="123">
        <f t="shared" si="0"/>
        <v>5</v>
      </c>
      <c r="T25" s="44" t="s">
        <v>141</v>
      </c>
      <c r="U25" s="66">
        <f t="shared" si="1"/>
        <v>0</v>
      </c>
      <c r="V25" s="66">
        <f>SUMIF(Spielplan!G$6:G$164,T25,Spielplan!X$6:X$164)+SUMIF(Spielplan!K$6:K$164,T25,Spielplan!Z$6:Z$164)</f>
        <v>0</v>
      </c>
      <c r="W25" s="68" t="s">
        <v>0</v>
      </c>
      <c r="X25" s="66">
        <f>SUMIF(Spielplan!G$6:G$164,T25,Spielplan!Z$6:Z$164)+SUMIF(Spielplan!K$6:K$164,T25,Spielplan!X$6:X$164)</f>
        <v>0</v>
      </c>
      <c r="Y25" s="66">
        <f t="shared" si="2"/>
        <v>0</v>
      </c>
      <c r="Z25" s="66">
        <f>SUMIF(Spielplan!G$6:G$164,T25,Spielplan!AB$6:AB$164)+SUMIF(Spielplan!K$6:K$164,T25,Spielplan!AD$6:AD$164)</f>
        <v>0</v>
      </c>
      <c r="AA25" s="68" t="s">
        <v>0</v>
      </c>
      <c r="AB25" s="66">
        <f>SUMIF(Spielplan!G$6:G$164,T25,Spielplan!AD$6:AD$164)+SUMIF(Spielplan!K$6:K$164,T25,Spielplan!AB$6:AB$164)</f>
        <v>0</v>
      </c>
      <c r="AC25" s="67">
        <f t="shared" si="3"/>
        <v>0</v>
      </c>
      <c r="AD25" s="131">
        <f t="shared" si="4"/>
        <v>0</v>
      </c>
      <c r="AE25" s="66">
        <f>SUMIF(Spielplan!G$6:G$164,T25,Spielplan!AF$6:AF$164)+SUMIF(Spielplan!K$6:K$164,T25,Spielplan!AH$6:AH$164)</f>
        <v>0</v>
      </c>
      <c r="AF25" s="68" t="s">
        <v>0</v>
      </c>
      <c r="AG25" s="66">
        <f>SUMIF(Spielplan!G$6:G$164,T25,Spielplan!AH$6:AH$164)+SUMIF(Spielplan!K$6:K$164,T25,Spielplan!AF$6:AF$164)</f>
        <v>0</v>
      </c>
      <c r="AH25" s="67">
        <f t="shared" si="5"/>
        <v>0</v>
      </c>
      <c r="AI25" s="145">
        <f t="shared" si="6"/>
        <v>5</v>
      </c>
      <c r="AJ25" s="69"/>
      <c r="AK25" s="50">
        <f t="shared" si="7"/>
        <v>5</v>
      </c>
      <c r="AL25" s="124">
        <f t="shared" si="8"/>
        <v>4.0000000000000001E-8</v>
      </c>
      <c r="AM25" s="124">
        <f t="shared" si="13"/>
        <v>0</v>
      </c>
      <c r="AN25" s="124">
        <f t="shared" si="14"/>
        <v>0</v>
      </c>
      <c r="AO25" s="124">
        <f t="shared" si="16"/>
        <v>0</v>
      </c>
      <c r="AP25" s="124">
        <f>SUM(IF(V25&gt;V$24,1,0)+IF(Y25&gt;Y$24,0.1,0)+IF(AC25&gt;AC$24,0.01,0)+IF(AD25&gt;AD$24,0.001,0)+IF(AH25&gt;AH$24,0.0001,0))</f>
        <v>0</v>
      </c>
      <c r="AQ25" s="127" t="s">
        <v>71</v>
      </c>
      <c r="AR25" s="124">
        <f>SUM(IF(V25&gt;V$26,1,0)+IF(Y25&gt;Y$26,0.1,0)+IF(AC25&gt;AC$26,0.01,0)+IF(AD25&gt;AD$26,0.001,0)+IF(AH25&gt;AH$26,0.0001,0))</f>
        <v>0</v>
      </c>
      <c r="AS25" s="124">
        <f t="shared" si="9"/>
        <v>0</v>
      </c>
      <c r="AT25" s="124">
        <f t="shared" si="10"/>
        <v>0</v>
      </c>
      <c r="AU25" s="124">
        <f t="shared" si="11"/>
        <v>0</v>
      </c>
      <c r="AV25" s="125">
        <f t="shared" si="12"/>
        <v>4.0000000000000001E-8</v>
      </c>
      <c r="AW25" s="124"/>
      <c r="AX25" s="124"/>
      <c r="AY25" s="124"/>
      <c r="AZ25" s="124"/>
      <c r="BA25" s="125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2"/>
    </row>
    <row r="26" spans="1:76" s="23" customFormat="1">
      <c r="A26" s="12">
        <f>VLOOKUP(6,S21:AI29,1,0)</f>
        <v>6</v>
      </c>
      <c r="B26" s="22" t="str">
        <f>VLOOKUP(6,S21:AI29,2,0)</f>
        <v>Team 6</v>
      </c>
      <c r="C26" s="21">
        <f>VLOOKUP(6,S21:AI29,3,0)</f>
        <v>0</v>
      </c>
      <c r="D26" s="21">
        <f>VLOOKUP(6,S21:AI29,4,0)</f>
        <v>0</v>
      </c>
      <c r="E26" s="21" t="s">
        <v>0</v>
      </c>
      <c r="F26" s="21">
        <f>VLOOKUP(6,S21:AI29,6,0)</f>
        <v>0</v>
      </c>
      <c r="G26" s="9"/>
      <c r="H26" s="12">
        <f>VLOOKUP(6,S21:AI29,8,0)</f>
        <v>0</v>
      </c>
      <c r="I26" s="21" t="s">
        <v>0</v>
      </c>
      <c r="J26" s="12">
        <f>VLOOKUP(6,S21:AI29,10,0)</f>
        <v>0</v>
      </c>
      <c r="K26" s="47">
        <f>VLOOKUP(6,S21:AI29,11,0)</f>
        <v>0</v>
      </c>
      <c r="L26" s="21">
        <f>VLOOKUP(6,S21:AI29,13,0)</f>
        <v>0</v>
      </c>
      <c r="M26" s="21" t="s">
        <v>0</v>
      </c>
      <c r="N26" s="21">
        <f>VLOOKUP(6,S21:AI29,15,0)</f>
        <v>0</v>
      </c>
      <c r="O26" s="47">
        <f t="shared" si="15"/>
        <v>0</v>
      </c>
      <c r="P26" s="19"/>
      <c r="R26" s="144">
        <v>6</v>
      </c>
      <c r="S26" s="123">
        <f t="shared" si="0"/>
        <v>6</v>
      </c>
      <c r="T26" s="44" t="s">
        <v>140</v>
      </c>
      <c r="U26" s="66">
        <f t="shared" si="1"/>
        <v>0</v>
      </c>
      <c r="V26" s="66">
        <f>SUMIF(Spielplan!G$6:G$164,T26,Spielplan!X$6:X$164)+SUMIF(Spielplan!K$6:K$164,T26,Spielplan!Z$6:Z$164)</f>
        <v>0</v>
      </c>
      <c r="W26" s="68" t="s">
        <v>0</v>
      </c>
      <c r="X26" s="66">
        <f>SUMIF(Spielplan!G$6:G$164,T26,Spielplan!Z$6:Z$164)+SUMIF(Spielplan!K$6:K$164,T26,Spielplan!X$6:X$164)</f>
        <v>0</v>
      </c>
      <c r="Y26" s="66">
        <f t="shared" si="2"/>
        <v>0</v>
      </c>
      <c r="Z26" s="66">
        <f>SUMIF(Spielplan!G$6:G$164,T26,Spielplan!AB$6:AB$164)+SUMIF(Spielplan!K$6:K$164,T26,Spielplan!AD$6:AD$164)</f>
        <v>0</v>
      </c>
      <c r="AA26" s="68" t="s">
        <v>0</v>
      </c>
      <c r="AB26" s="66">
        <f>SUMIF(Spielplan!G$6:G$164,T26,Spielplan!AD$6:AD$164)+SUMIF(Spielplan!K$6:K$164,T26,Spielplan!AB$6:AB$164)</f>
        <v>0</v>
      </c>
      <c r="AC26" s="67">
        <f t="shared" si="3"/>
        <v>0</v>
      </c>
      <c r="AD26" s="131">
        <f t="shared" si="4"/>
        <v>0</v>
      </c>
      <c r="AE26" s="66">
        <f>SUMIF(Spielplan!G$6:G$164,T26,Spielplan!AF$6:AF$164)+SUMIF(Spielplan!K$6:K$164,T26,Spielplan!AH$6:AH$164)</f>
        <v>0</v>
      </c>
      <c r="AF26" s="68" t="s">
        <v>0</v>
      </c>
      <c r="AG26" s="66">
        <f>SUMIF(Spielplan!G$6:G$164,T26,Spielplan!AH$6:AH$164)+SUMIF(Spielplan!K$6:K$164,T26,Spielplan!AF$6:AF$164)</f>
        <v>0</v>
      </c>
      <c r="AH26" s="67">
        <f t="shared" si="5"/>
        <v>0</v>
      </c>
      <c r="AI26" s="145">
        <f t="shared" si="6"/>
        <v>6</v>
      </c>
      <c r="AJ26" s="69"/>
      <c r="AK26" s="50">
        <f t="shared" si="7"/>
        <v>6</v>
      </c>
      <c r="AL26" s="124">
        <f t="shared" si="8"/>
        <v>3.0000000000000004E-8</v>
      </c>
      <c r="AM26" s="124">
        <f t="shared" si="13"/>
        <v>0</v>
      </c>
      <c r="AN26" s="124">
        <f t="shared" si="14"/>
        <v>0</v>
      </c>
      <c r="AO26" s="124">
        <f t="shared" si="16"/>
        <v>0</v>
      </c>
      <c r="AP26" s="124">
        <f>SUM(IF(V26&gt;V$24,1,0)+IF(Y26&gt;Y$24,0.1,0)+IF(AC26&gt;AC$24,0.01,0)+IF(AD26&gt;AD$24,0.001,0)+IF(AH26&gt;AH$24,0.0001,0))</f>
        <v>0</v>
      </c>
      <c r="AQ26" s="124">
        <f>SUM(IF(V26&gt;V$25,1,0)+IF(Y26&gt;Y$25,0.1,0)+IF(AC26&gt;AC$25,0.01,0)+IF(AD26&gt;AD$25,0.001,0)+IF(AH26&gt;AH$25,0.0001,0))</f>
        <v>0</v>
      </c>
      <c r="AR26" s="127" t="s">
        <v>71</v>
      </c>
      <c r="AS26" s="124">
        <f t="shared" si="9"/>
        <v>0</v>
      </c>
      <c r="AT26" s="124">
        <f t="shared" si="10"/>
        <v>0</v>
      </c>
      <c r="AU26" s="124">
        <f t="shared" si="11"/>
        <v>0</v>
      </c>
      <c r="AV26" s="125">
        <f t="shared" si="12"/>
        <v>3.0000000000000004E-8</v>
      </c>
      <c r="AW26" s="124"/>
      <c r="AX26" s="124"/>
      <c r="AY26" s="124"/>
      <c r="AZ26" s="124"/>
      <c r="BA26" s="125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2"/>
    </row>
    <row r="27" spans="1:76" s="23" customFormat="1">
      <c r="A27" s="12">
        <f>VLOOKUP(7,S21:AI29,1,0)</f>
        <v>7</v>
      </c>
      <c r="B27" s="22" t="str">
        <f>VLOOKUP(7,S21:AI29,2,0)</f>
        <v>Team 7</v>
      </c>
      <c r="C27" s="21">
        <f>VLOOKUP(7,S21:AI29,3,0)</f>
        <v>0</v>
      </c>
      <c r="D27" s="21">
        <f>VLOOKUP(7,S21:AI29,4,0)</f>
        <v>0</v>
      </c>
      <c r="E27" s="21" t="s">
        <v>0</v>
      </c>
      <c r="F27" s="21">
        <f>VLOOKUP(7,S21:AI29,6,0)</f>
        <v>0</v>
      </c>
      <c r="G27" s="9"/>
      <c r="H27" s="12">
        <f>VLOOKUP(7,S21:AI29,8,0)</f>
        <v>0</v>
      </c>
      <c r="I27" s="21" t="s">
        <v>0</v>
      </c>
      <c r="J27" s="12">
        <f>VLOOKUP(7,S21:AI29,10,0)</f>
        <v>0</v>
      </c>
      <c r="K27" s="47">
        <f>VLOOKUP(7,S21:AI29,11,0)</f>
        <v>0</v>
      </c>
      <c r="L27" s="21">
        <f>VLOOKUP(7,S21:AI29,13,0)</f>
        <v>0</v>
      </c>
      <c r="M27" s="21" t="s">
        <v>0</v>
      </c>
      <c r="N27" s="21">
        <f>VLOOKUP(7,S21:AI29,15,0)</f>
        <v>0</v>
      </c>
      <c r="O27" s="47">
        <f t="shared" si="15"/>
        <v>0</v>
      </c>
      <c r="P27" s="19"/>
      <c r="R27" s="144">
        <v>7</v>
      </c>
      <c r="S27" s="123">
        <f t="shared" si="0"/>
        <v>7</v>
      </c>
      <c r="T27" s="44" t="s">
        <v>143</v>
      </c>
      <c r="U27" s="66">
        <f t="shared" si="1"/>
        <v>0</v>
      </c>
      <c r="V27" s="66">
        <f>SUMIF(Spielplan!G$6:G$164,T27,Spielplan!X$6:X$164)+SUMIF(Spielplan!K$6:K$164,T27,Spielplan!Z$6:Z$164)</f>
        <v>0</v>
      </c>
      <c r="W27" s="68" t="s">
        <v>0</v>
      </c>
      <c r="X27" s="66">
        <f>SUMIF(Spielplan!G$6:G$164,T27,Spielplan!Z$6:Z$164)+SUMIF(Spielplan!K$6:K$164,T27,Spielplan!X$6:X$164)</f>
        <v>0</v>
      </c>
      <c r="Y27" s="66">
        <f t="shared" si="2"/>
        <v>0</v>
      </c>
      <c r="Z27" s="66">
        <f>SUMIF(Spielplan!G$6:G$164,T27,Spielplan!AB$6:AB$164)+SUMIF(Spielplan!K$6:K$164,T27,Spielplan!AD$6:AD$164)</f>
        <v>0</v>
      </c>
      <c r="AA27" s="68" t="s">
        <v>0</v>
      </c>
      <c r="AB27" s="66">
        <f>SUMIF(Spielplan!G$6:G$164,T27,Spielplan!AD$6:AD$164)+SUMIF(Spielplan!K$6:K$164,T27,Spielplan!AB$6:AB$164)</f>
        <v>0</v>
      </c>
      <c r="AC27" s="67">
        <f t="shared" si="3"/>
        <v>0</v>
      </c>
      <c r="AD27" s="131">
        <f t="shared" si="4"/>
        <v>0</v>
      </c>
      <c r="AE27" s="66">
        <f>SUMIF(Spielplan!G$6:G$164,T27,Spielplan!AF$6:AF$164)+SUMIF(Spielplan!K$6:K$164,T27,Spielplan!AH$6:AH$164)</f>
        <v>0</v>
      </c>
      <c r="AF27" s="68" t="s">
        <v>0</v>
      </c>
      <c r="AG27" s="66">
        <f>SUMIF(Spielplan!G$6:G$164,T27,Spielplan!AH$6:AH$164)+SUMIF(Spielplan!K$6:K$164,T27,Spielplan!AF$6:AF$164)</f>
        <v>0</v>
      </c>
      <c r="AH27" s="67">
        <f t="shared" si="5"/>
        <v>0</v>
      </c>
      <c r="AI27" s="145">
        <f t="shared" si="6"/>
        <v>7</v>
      </c>
      <c r="AJ27" s="69"/>
      <c r="AK27" s="50">
        <f t="shared" si="7"/>
        <v>7</v>
      </c>
      <c r="AL27" s="124">
        <f t="shared" si="8"/>
        <v>2E-8</v>
      </c>
      <c r="AM27" s="124">
        <f t="shared" si="13"/>
        <v>0</v>
      </c>
      <c r="AN27" s="124">
        <f t="shared" si="14"/>
        <v>0</v>
      </c>
      <c r="AO27" s="124">
        <f t="shared" si="16"/>
        <v>0</v>
      </c>
      <c r="AP27" s="124">
        <f>SUM(IF(V27&gt;V$24,1,0)+IF(Y27&gt;Y$24,0.1,0)+IF(AC27&gt;AC$24,0.01,0)+IF(AD27&gt;AD$24,0.001,0)+IF(AH27&gt;AH$24,0.0001,0))</f>
        <v>0</v>
      </c>
      <c r="AQ27" s="124">
        <f>SUM(IF(V27&gt;V$25,1,0)+IF(Y27&gt;Y$25,0.1,0)+IF(AC27&gt;AC$25,0.01,0)+IF(AD27&gt;AD$25,0.001,0)+IF(AH27&gt;AH$25,0.0001,0))</f>
        <v>0</v>
      </c>
      <c r="AR27" s="124">
        <f>SUM(IF(V27&gt;V$26,1,0)+IF(Y27&gt;Y$26,0.1,0)+IF(AC27&gt;AC$26,0.01,0)+IF(AD27&gt;AD$26,0.001,0)+IF(AH27&gt;AH$26,0.0001,0))</f>
        <v>0</v>
      </c>
      <c r="AS27" s="127" t="s">
        <v>71</v>
      </c>
      <c r="AT27" s="124">
        <f t="shared" si="10"/>
        <v>0</v>
      </c>
      <c r="AU27" s="124">
        <f t="shared" si="11"/>
        <v>0</v>
      </c>
      <c r="AV27" s="125">
        <f t="shared" si="12"/>
        <v>2E-8</v>
      </c>
      <c r="AW27" s="124"/>
      <c r="AX27" s="124"/>
      <c r="AY27" s="124"/>
      <c r="AZ27" s="124"/>
      <c r="BA27" s="125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2"/>
    </row>
    <row r="28" spans="1:76" s="23" customFormat="1">
      <c r="A28" s="12">
        <f>VLOOKUP(8,S21:AI29,1,0)</f>
        <v>8</v>
      </c>
      <c r="B28" s="22" t="str">
        <f>VLOOKUP(8,S21:AI29,2,0)</f>
        <v>Team 8</v>
      </c>
      <c r="C28" s="21">
        <f>VLOOKUP(8,S21:AI29,3,0)</f>
        <v>0</v>
      </c>
      <c r="D28" s="21">
        <f>VLOOKUP(8,S21:AI29,4,0)</f>
        <v>0</v>
      </c>
      <c r="E28" s="21" t="s">
        <v>0</v>
      </c>
      <c r="F28" s="21">
        <f>VLOOKUP(8,S21:AI29,6,0)</f>
        <v>0</v>
      </c>
      <c r="G28" s="9"/>
      <c r="H28" s="12">
        <f>VLOOKUP(8,S21:AI29,8,0)</f>
        <v>0</v>
      </c>
      <c r="I28" s="21" t="s">
        <v>0</v>
      </c>
      <c r="J28" s="12">
        <f>VLOOKUP(8,S21:AI29,10,0)</f>
        <v>0</v>
      </c>
      <c r="K28" s="47">
        <f>VLOOKUP(8,S21:AI29,11,0)</f>
        <v>0</v>
      </c>
      <c r="L28" s="21">
        <f>VLOOKUP(8,S21:AI29,13,0)</f>
        <v>0</v>
      </c>
      <c r="M28" s="21" t="s">
        <v>0</v>
      </c>
      <c r="N28" s="21">
        <f>VLOOKUP(8,S21:AI29,15,0)</f>
        <v>0</v>
      </c>
      <c r="O28" s="47" t="e">
        <f t="shared" si="15"/>
        <v>#N/A</v>
      </c>
      <c r="P28" s="19"/>
      <c r="R28" s="144">
        <v>8</v>
      </c>
      <c r="S28" s="123">
        <f t="shared" si="0"/>
        <v>8</v>
      </c>
      <c r="T28" s="44" t="s">
        <v>144</v>
      </c>
      <c r="U28" s="66">
        <f t="shared" si="1"/>
        <v>0</v>
      </c>
      <c r="V28" s="66">
        <f>SUMIF(Spielplan!G$6:G$164,T28,Spielplan!X$6:X$164)+SUMIF(Spielplan!K$6:K$164,T28,Spielplan!Z$6:Z$164)</f>
        <v>0</v>
      </c>
      <c r="W28" s="68" t="s">
        <v>0</v>
      </c>
      <c r="X28" s="66">
        <f>SUMIF(Spielplan!G$6:G$164,T28,Spielplan!Z$6:Z$164)+SUMIF(Spielplan!K$6:K$164,T28,Spielplan!X$6:X$164)</f>
        <v>0</v>
      </c>
      <c r="Y28" s="66">
        <f t="shared" si="2"/>
        <v>0</v>
      </c>
      <c r="Z28" s="66">
        <f>SUMIF(Spielplan!G$6:G$164,T28,Spielplan!AB$6:AB$164)+SUMIF(Spielplan!K$6:K$164,T28,Spielplan!AD$6:AD$164)</f>
        <v>0</v>
      </c>
      <c r="AA28" s="68" t="s">
        <v>0</v>
      </c>
      <c r="AB28" s="66">
        <f>SUMIF(Spielplan!G$6:G$164,T28,Spielplan!AD$6:AD$164)+SUMIF(Spielplan!K$6:K$164,T28,Spielplan!AB$6:AB$164)</f>
        <v>0</v>
      </c>
      <c r="AC28" s="67">
        <f t="shared" si="3"/>
        <v>0</v>
      </c>
      <c r="AD28" s="131">
        <f t="shared" si="4"/>
        <v>0</v>
      </c>
      <c r="AE28" s="66">
        <f>SUMIF(Spielplan!G$6:G$164,T28,Spielplan!AF$6:AF$164)+SUMIF(Spielplan!K$6:K$164,T28,Spielplan!AH$6:AH$164)</f>
        <v>0</v>
      </c>
      <c r="AF28" s="68" t="s">
        <v>0</v>
      </c>
      <c r="AG28" s="66">
        <f>SUMIF(Spielplan!G$6:G$164,T28,Spielplan!AH$6:AH$164)+SUMIF(Spielplan!K$6:K$164,T28,Spielplan!AF$6:AF$164)</f>
        <v>0</v>
      </c>
      <c r="AH28" s="67">
        <f t="shared" si="5"/>
        <v>0</v>
      </c>
      <c r="AI28" s="145">
        <f t="shared" si="6"/>
        <v>8</v>
      </c>
      <c r="AJ28" s="69"/>
      <c r="AK28" s="50">
        <f t="shared" si="7"/>
        <v>8</v>
      </c>
      <c r="AL28" s="124">
        <f t="shared" si="8"/>
        <v>1E-8</v>
      </c>
      <c r="AM28" s="124">
        <f t="shared" si="13"/>
        <v>0</v>
      </c>
      <c r="AN28" s="124">
        <f t="shared" si="14"/>
        <v>0</v>
      </c>
      <c r="AO28" s="124">
        <f t="shared" si="16"/>
        <v>0</v>
      </c>
      <c r="AP28" s="124">
        <f>SUM(IF(V28&gt;V$24,1,0)+IF(Y28&gt;Y$24,0.1,0)+IF(AC28&gt;AC$24,0.01,0)+IF(AD28&gt;AD$24,0.001,0)+IF(AH28&gt;AH$24,0.0001,0))</f>
        <v>0</v>
      </c>
      <c r="AQ28" s="124">
        <f>SUM(IF(V28&gt;V$25,1,0)+IF(Y28&gt;Y$25,0.1,0)+IF(AC28&gt;AC$25,0.01,0)+IF(AD28&gt;AD$25,0.001,0)+IF(AH28&gt;AH$25,0.0001,0))</f>
        <v>0</v>
      </c>
      <c r="AR28" s="124">
        <f>SUM(IF(V28&gt;V$26,1,0)+IF(Y28&gt;Y$26,0.1,0)+IF(AC28&gt;AC$26,0.01,0)+IF(AD28&gt;AD$26,0.001,0)+IF(AH28&gt;AH$26,0.0001,0))</f>
        <v>0</v>
      </c>
      <c r="AS28" s="124">
        <f>SUM(IF(V28&gt;V$27,1,0)+IF(Y28&gt;Y$27,0.1,0)+IF(AC28&gt;AC$27,0.01,0)+IF(AD28&gt;AD$27,0.001,0)+IF(AH28&gt;AH$27,0.0001,0))</f>
        <v>0</v>
      </c>
      <c r="AT28" s="127" t="s">
        <v>71</v>
      </c>
      <c r="AU28" s="124">
        <f t="shared" si="11"/>
        <v>0</v>
      </c>
      <c r="AV28" s="125">
        <f t="shared" si="12"/>
        <v>1E-8</v>
      </c>
      <c r="AW28" s="124"/>
      <c r="AX28" s="124"/>
      <c r="AY28" s="124"/>
      <c r="AZ28" s="124"/>
      <c r="BA28" s="125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2"/>
    </row>
    <row r="29" spans="1:76" s="23" customFormat="1">
      <c r="A29" s="12">
        <f>VLOOKUP(9,S21:AI29,1,0)</f>
        <v>9</v>
      </c>
      <c r="B29" s="22" t="str">
        <f>VLOOKUP(9,S21:AI29,2,0)</f>
        <v>Team 9</v>
      </c>
      <c r="C29" s="21">
        <f>VLOOKUP(9,S21:AI29,3,0)</f>
        <v>0</v>
      </c>
      <c r="D29" s="21">
        <f>VLOOKUP(9,S21:AI29,4,0)</f>
        <v>0</v>
      </c>
      <c r="E29" s="21" t="s">
        <v>0</v>
      </c>
      <c r="F29" s="21">
        <f>VLOOKUP(9,S21:AI29,6,0)</f>
        <v>0</v>
      </c>
      <c r="G29" s="9"/>
      <c r="H29" s="12">
        <f>VLOOKUP(9,S21:AI29,8,0)</f>
        <v>0</v>
      </c>
      <c r="I29" s="21" t="s">
        <v>0</v>
      </c>
      <c r="J29" s="12">
        <f>VLOOKUP(9,S21:AI29,10,0)</f>
        <v>0</v>
      </c>
      <c r="K29" s="47">
        <f>VLOOKUP(9,S21:AI29,11,0)</f>
        <v>0</v>
      </c>
      <c r="L29" s="21">
        <f>VLOOKUP(9,S21:AI29,13,0)</f>
        <v>0</v>
      </c>
      <c r="M29" s="21" t="s">
        <v>0</v>
      </c>
      <c r="N29" s="21">
        <f>VLOOKUP(9,S21:AI29,15,0)</f>
        <v>0</v>
      </c>
      <c r="O29" s="47" t="e">
        <f t="shared" si="15"/>
        <v>#N/A</v>
      </c>
      <c r="P29" s="19"/>
      <c r="R29" s="144">
        <v>9</v>
      </c>
      <c r="S29" s="123">
        <f t="shared" si="0"/>
        <v>9</v>
      </c>
      <c r="T29" s="44" t="s">
        <v>82</v>
      </c>
      <c r="U29" s="66">
        <f t="shared" si="1"/>
        <v>0</v>
      </c>
      <c r="V29" s="66">
        <f>SUMIF(Spielplan!G$6:G$164,T29,Spielplan!X$6:X$164)+SUMIF(Spielplan!K$6:K$164,T29,Spielplan!Z$6:Z$164)</f>
        <v>0</v>
      </c>
      <c r="W29" s="68" t="s">
        <v>0</v>
      </c>
      <c r="X29" s="66">
        <f>SUMIF(Spielplan!G$6:G$164,T29,Spielplan!Z$6:Z$164)+SUMIF(Spielplan!K$6:K$164,T29,Spielplan!X$6:X$164)</f>
        <v>0</v>
      </c>
      <c r="Y29" s="66">
        <f t="shared" si="2"/>
        <v>0</v>
      </c>
      <c r="Z29" s="66">
        <f>SUMIF(Spielplan!G$6:G$164,T29,Spielplan!AB$6:AB$164)+SUMIF(Spielplan!K$6:K$164,T29,Spielplan!AD$6:AD$164)</f>
        <v>0</v>
      </c>
      <c r="AA29" s="68" t="s">
        <v>0</v>
      </c>
      <c r="AB29" s="66">
        <f>SUMIF(Spielplan!G$6:G$164,T29,Spielplan!AD$6:AD$164)+SUMIF(Spielplan!K$6:K$164,T29,Spielplan!AB$6:AB$164)</f>
        <v>0</v>
      </c>
      <c r="AC29" s="67">
        <f t="shared" si="3"/>
        <v>0</v>
      </c>
      <c r="AD29" s="131">
        <f t="shared" si="4"/>
        <v>0</v>
      </c>
      <c r="AE29" s="66">
        <f>SUMIF(Spielplan!G$6:G$164,T29,Spielplan!AF$6:AF$164)+SUMIF(Spielplan!K$6:K$164,T29,Spielplan!AH$6:AH$164)</f>
        <v>0</v>
      </c>
      <c r="AF29" s="68" t="s">
        <v>0</v>
      </c>
      <c r="AG29" s="66">
        <f>SUMIF(Spielplan!G$6:G$164,T29,Spielplan!AH$6:AH$164)+SUMIF(Spielplan!K$6:K$164,T29,Spielplan!AF$6:AF$164)</f>
        <v>0</v>
      </c>
      <c r="AH29" s="67">
        <f t="shared" si="5"/>
        <v>0</v>
      </c>
      <c r="AI29" s="145">
        <f t="shared" si="6"/>
        <v>9</v>
      </c>
      <c r="AJ29" s="69"/>
      <c r="AK29" s="50">
        <f t="shared" si="7"/>
        <v>9</v>
      </c>
      <c r="AL29" s="124">
        <f t="shared" si="8"/>
        <v>0</v>
      </c>
      <c r="AM29" s="124">
        <f t="shared" si="13"/>
        <v>0</v>
      </c>
      <c r="AN29" s="124">
        <f t="shared" si="14"/>
        <v>0</v>
      </c>
      <c r="AO29" s="124">
        <f t="shared" si="16"/>
        <v>0</v>
      </c>
      <c r="AP29" s="124">
        <f>SUM(IF(V29&gt;V$24,1,0)+IF(Y29&gt;Y$24,0.1,0)+IF(AC29&gt;AC$24,0.01,0)+IF(AD29&gt;AD$24,0.001,0)+IF(AH29&gt;AH$24,0.0001,0))</f>
        <v>0</v>
      </c>
      <c r="AQ29" s="124">
        <f>SUM(IF(V29&gt;V$25,1,0)+IF(Y29&gt;Y$25,0.1,0)+IF(AC29&gt;AC$25,0.01,0)+IF(AD29&gt;AD$25,0.001,0)+IF(AH29&gt;AH$25,0.0001,0))</f>
        <v>0</v>
      </c>
      <c r="AR29" s="124">
        <f>SUM(IF(V29&gt;V$26,1,0)+IF(Y29&gt;Y$26,0.1,0)+IF(AC29&gt;AC$26,0.01,0)+IF(AD29&gt;AD$26,0.001,0)+IF(AH29&gt;AH$26,0.0001,0))</f>
        <v>0</v>
      </c>
      <c r="AS29" s="124">
        <f>SUM(IF(V29&gt;V$27,1,0)+IF(Y29&gt;Y$27,0.1,0)+IF(AC29&gt;AC$27,0.01,0)+IF(AD29&gt;AD$27,0.001,0)+IF(AH29&gt;AH$27,0.0001,0))</f>
        <v>0</v>
      </c>
      <c r="AT29" s="124">
        <f>SUM(IF(V29&gt;V$28,1,0)+IF(Y29&gt;Y$28,0.1,0)+IF(AC29&gt;AC$28,0.01,0)+IF(AD29&gt;AD$28,0.001,0)+IF(AH29&gt;AH$28,0.0001,0))</f>
        <v>0</v>
      </c>
      <c r="AU29" s="127" t="s">
        <v>71</v>
      </c>
      <c r="AV29" s="125">
        <f t="shared" si="12"/>
        <v>0</v>
      </c>
      <c r="AW29" s="124"/>
      <c r="AX29" s="124"/>
      <c r="AY29" s="124"/>
      <c r="AZ29" s="124"/>
      <c r="BA29" s="125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2"/>
    </row>
  </sheetData>
  <sheetProtection selectLockedCells="1"/>
  <mergeCells count="17"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  <mergeCell ref="A1:Q1"/>
    <mergeCell ref="L19:N19"/>
    <mergeCell ref="D19:F19"/>
    <mergeCell ref="A2:Q3"/>
    <mergeCell ref="A4:Q5"/>
    <mergeCell ref="H19:J19"/>
    <mergeCell ref="K6:P6"/>
  </mergeCells>
  <phoneticPr fontId="0" type="noConversion"/>
  <conditionalFormatting sqref="A29:AO29 AQ29:IV29">
    <cfRule type="expression" dxfId="9" priority="12" stopIfTrue="1">
      <formula>$AE$4&lt;9</formula>
    </cfRule>
  </conditionalFormatting>
  <conditionalFormatting sqref="A28:S28 AQ28:IV28 U28:AO28">
    <cfRule type="expression" dxfId="8" priority="11" stopIfTrue="1">
      <formula>$AE$4&lt;8</formula>
    </cfRule>
  </conditionalFormatting>
  <conditionalFormatting sqref="A27:AO27 AQ27:IV27">
    <cfRule type="expression" dxfId="7" priority="10" stopIfTrue="1">
      <formula>$AE$4&lt;7</formula>
    </cfRule>
  </conditionalFormatting>
  <conditionalFormatting sqref="A26:AO26 AQ26:IV26">
    <cfRule type="expression" dxfId="6" priority="9" stopIfTrue="1">
      <formula>$AE$4&lt;6</formula>
    </cfRule>
  </conditionalFormatting>
  <conditionalFormatting sqref="A25:S25 AQ25:IV25 U25:AO25">
    <cfRule type="expression" dxfId="5" priority="8" stopIfTrue="1">
      <formula>$AE$4&lt;5</formula>
    </cfRule>
  </conditionalFormatting>
  <conditionalFormatting sqref="A24:S24 U24:IV24">
    <cfRule type="expression" dxfId="4" priority="7" stopIfTrue="1">
      <formula>$AE$4&lt;4</formula>
    </cfRule>
  </conditionalFormatting>
  <conditionalFormatting sqref="A23:AO23 AQ23:IV23">
    <cfRule type="expression" dxfId="3" priority="6" stopIfTrue="1">
      <formula>$AE$4&lt;3</formula>
    </cfRule>
  </conditionalFormatting>
  <conditionalFormatting sqref="T24">
    <cfRule type="expression" dxfId="2" priority="3" stopIfTrue="1">
      <formula>$AE$4&lt;7</formula>
    </cfRule>
  </conditionalFormatting>
  <conditionalFormatting sqref="T25">
    <cfRule type="expression" dxfId="1" priority="2" stopIfTrue="1">
      <formula>$AE$4&lt;8</formula>
    </cfRule>
  </conditionalFormatting>
  <conditionalFormatting sqref="T28">
    <cfRule type="expression" dxfId="0" priority="1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R165"/>
  <sheetViews>
    <sheetView topLeftCell="C1" zoomScaleNormal="100" workbookViewId="0">
      <selection activeCell="E38" sqref="E38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21.42578125" style="8" bestFit="1" customWidth="1"/>
    <col min="8" max="8" width="4.42578125" style="8" customWidth="1"/>
    <col min="9" max="9" width="3.28515625" style="8" bestFit="1" customWidth="1"/>
    <col min="10" max="10" width="4.140625" style="8" customWidth="1"/>
    <col min="11" max="11" width="21.42578125" style="8" bestFit="1" customWidth="1"/>
    <col min="12" max="12" width="3.140625" style="8" customWidth="1"/>
    <col min="13" max="13" width="21.4257812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5" customWidth="1"/>
    <col min="28" max="28" width="4.7109375" style="35" customWidth="1"/>
    <col min="29" max="29" width="1.140625" style="35" customWidth="1"/>
    <col min="30" max="30" width="4.7109375" style="35" customWidth="1"/>
    <col min="31" max="31" width="1.5703125" style="35" customWidth="1"/>
    <col min="32" max="32" width="5.5703125" style="35" customWidth="1"/>
    <col min="33" max="33" width="1.140625" style="35" customWidth="1"/>
    <col min="34" max="34" width="5.5703125" style="35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43" width="6.140625" style="4" hidden="1" customWidth="1"/>
    <col min="44" max="72" width="0" style="4" hidden="1" customWidth="1"/>
    <col min="73" max="16384" width="11.42578125" style="4"/>
  </cols>
  <sheetData>
    <row r="1" spans="1:44" ht="39" customHeight="1">
      <c r="F1" s="481">
        <f>Platzierung!U4</f>
        <v>0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</row>
    <row r="2" spans="1:44" ht="27" customHeight="1">
      <c r="F2" s="481">
        <f>Platzierung!U6</f>
        <v>0</v>
      </c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</row>
    <row r="3" spans="1:44" ht="25.9" customHeight="1">
      <c r="F3" s="485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35"/>
      <c r="AE3" s="344"/>
      <c r="AF3" s="344"/>
      <c r="AG3" s="344"/>
    </row>
    <row r="4" spans="1:44" s="18" customFormat="1" ht="20.25">
      <c r="C4" s="14"/>
      <c r="D4" s="15"/>
      <c r="E4" s="15"/>
      <c r="F4" s="16" t="s">
        <v>79</v>
      </c>
      <c r="I4" s="16"/>
      <c r="J4" s="16"/>
      <c r="K4" s="354" t="s">
        <v>84</v>
      </c>
      <c r="L4" s="354"/>
      <c r="M4" s="355" t="s">
        <v>146</v>
      </c>
      <c r="N4" s="14"/>
      <c r="O4" s="14"/>
      <c r="P4" s="356" t="s">
        <v>147</v>
      </c>
      <c r="Q4" s="14"/>
      <c r="R4" s="14"/>
      <c r="S4" s="14"/>
      <c r="T4" s="14"/>
      <c r="U4" s="14"/>
      <c r="V4" s="14"/>
      <c r="W4" s="36"/>
      <c r="X4" s="36"/>
      <c r="Y4" s="36"/>
      <c r="Z4" s="36"/>
      <c r="AA4" s="36"/>
      <c r="AB4" s="36"/>
      <c r="AC4" s="36"/>
      <c r="AD4" s="36"/>
      <c r="AE4" s="55"/>
      <c r="AF4" s="36"/>
      <c r="AG4" s="36"/>
      <c r="AH4" s="36"/>
    </row>
    <row r="5" spans="1:44" s="31" customFormat="1" ht="16.5" thickBot="1">
      <c r="A5" s="149" t="s">
        <v>13</v>
      </c>
      <c r="B5" s="9" t="s">
        <v>84</v>
      </c>
      <c r="C5" s="357" t="s">
        <v>8</v>
      </c>
      <c r="D5" s="358" t="s">
        <v>4</v>
      </c>
      <c r="E5" s="358" t="s">
        <v>3</v>
      </c>
      <c r="F5" s="358" t="s">
        <v>13</v>
      </c>
      <c r="G5" s="28" t="s">
        <v>7</v>
      </c>
      <c r="H5" s="345" t="s">
        <v>24</v>
      </c>
      <c r="I5" s="29"/>
      <c r="J5" s="346" t="s">
        <v>25</v>
      </c>
      <c r="K5" s="28" t="s">
        <v>6</v>
      </c>
      <c r="L5" s="345" t="s">
        <v>76</v>
      </c>
      <c r="M5" s="29" t="s">
        <v>5</v>
      </c>
      <c r="N5" s="484" t="s">
        <v>29</v>
      </c>
      <c r="O5" s="484"/>
      <c r="P5" s="484"/>
      <c r="Q5" s="484" t="s">
        <v>30</v>
      </c>
      <c r="R5" s="484"/>
      <c r="S5" s="484"/>
      <c r="T5" s="484" t="s">
        <v>31</v>
      </c>
      <c r="U5" s="484"/>
      <c r="V5" s="484"/>
      <c r="W5" s="37"/>
      <c r="X5" s="483" t="s">
        <v>2</v>
      </c>
      <c r="Y5" s="483"/>
      <c r="Z5" s="483"/>
      <c r="AA5" s="37"/>
      <c r="AB5" s="483" t="s">
        <v>32</v>
      </c>
      <c r="AC5" s="483"/>
      <c r="AD5" s="483"/>
      <c r="AE5" s="359"/>
      <c r="AF5" s="483" t="s">
        <v>28</v>
      </c>
      <c r="AG5" s="483"/>
      <c r="AH5" s="483"/>
    </row>
    <row r="6" spans="1:44" ht="15.75">
      <c r="A6" s="150">
        <f>F6</f>
        <v>1</v>
      </c>
      <c r="B6" s="151" t="str">
        <f>K$4</f>
        <v>Datum</v>
      </c>
      <c r="C6" s="426">
        <v>0.39583333333333331</v>
      </c>
      <c r="D6" s="427">
        <v>1</v>
      </c>
      <c r="E6" s="428">
        <v>1</v>
      </c>
      <c r="F6" s="428">
        <f>IF(H6&lt;21,COUNTIF(H$6:H6,"&lt;21"),"")</f>
        <v>1</v>
      </c>
      <c r="G6" s="429" t="str">
        <f t="shared" ref="G6:G30" si="0">IF(H6=21,"",INDEX($AM$7:$AN$22,H6,2))</f>
        <v>Team 1</v>
      </c>
      <c r="H6" s="430">
        <v>1</v>
      </c>
      <c r="I6" s="431" t="s">
        <v>16</v>
      </c>
      <c r="J6" s="430">
        <v>2</v>
      </c>
      <c r="K6" s="429" t="str">
        <f t="shared" ref="K6:K30" si="1">IF(J6=21,"",INDEX($AM$7:$AN$22,J6,2))</f>
        <v>Team 2</v>
      </c>
      <c r="L6" s="430">
        <v>3</v>
      </c>
      <c r="M6" s="429" t="str">
        <f t="shared" ref="M6:M30" si="2">IF(L6=21,"",INDEX($AM$7:$AN$22,L6,2))</f>
        <v>Team 3</v>
      </c>
      <c r="N6" s="432"/>
      <c r="O6" s="433" t="s">
        <v>0</v>
      </c>
      <c r="P6" s="432"/>
      <c r="Q6" s="432"/>
      <c r="R6" s="433" t="s">
        <v>0</v>
      </c>
      <c r="S6" s="432"/>
      <c r="T6" s="432"/>
      <c r="U6" s="433" t="s">
        <v>0</v>
      </c>
      <c r="V6" s="432"/>
      <c r="W6" s="434"/>
      <c r="X6" s="434" t="str">
        <f>IF(N6+P6&gt;0,IF(AB6&gt;0,IF(AB6&gt;AD6,2,IF(AB6&lt;AD6,0,1)),0),"")</f>
        <v/>
      </c>
      <c r="Y6" s="433" t="s">
        <v>0</v>
      </c>
      <c r="Z6" s="434" t="str">
        <f>IF(N6+P6&gt;0,IF(AD6&gt;0,IF(AD6&gt;AB6,2,IF(AD6&lt;AB6,0,1)),0),"")</f>
        <v/>
      </c>
      <c r="AA6" s="434"/>
      <c r="AB6" s="434" t="str">
        <f>IF(N6+P6&gt;0,IF(N6&gt;P6,1,0)+IF(Q6&gt;S6,1,0)+IF(T6&gt;V6,1,0),"")</f>
        <v/>
      </c>
      <c r="AC6" s="433" t="s">
        <v>0</v>
      </c>
      <c r="AD6" s="434" t="str">
        <f>IF(N6+P6&gt;0,IF(N6&lt;P6,1,0)+IF(Q6&lt;S6,1,0)+IF(T6&lt;V6,1,0),"")</f>
        <v/>
      </c>
      <c r="AE6" s="435"/>
      <c r="AF6" s="434" t="str">
        <f>IF(N6+P6&gt;0,N6+Q6+T6,"")</f>
        <v/>
      </c>
      <c r="AG6" s="433" t="s">
        <v>0</v>
      </c>
      <c r="AH6" s="436" t="str">
        <f>IF(N6+P6&gt;0,P6+S6+V6,"")</f>
        <v/>
      </c>
      <c r="AJ6" s="4" t="str">
        <f>M$4</f>
        <v>Ort</v>
      </c>
      <c r="AL6" s="4">
        <v>4</v>
      </c>
      <c r="AM6" s="31"/>
      <c r="AN6" s="31"/>
      <c r="AQ6" s="4" t="s">
        <v>145</v>
      </c>
      <c r="AR6" s="4" t="str">
        <f>Platzierung!T21</f>
        <v>Team 1</v>
      </c>
    </row>
    <row r="7" spans="1:44" ht="15.75">
      <c r="A7" s="150">
        <f t="shared" ref="A7:A30" si="3">F7</f>
        <v>2</v>
      </c>
      <c r="B7" s="151" t="str">
        <f t="shared" ref="B7:B24" si="4">K$4</f>
        <v>Datum</v>
      </c>
      <c r="C7" s="437" t="s">
        <v>75</v>
      </c>
      <c r="D7" s="438">
        <v>2</v>
      </c>
      <c r="E7" s="439">
        <v>1</v>
      </c>
      <c r="F7" s="439">
        <f>IF(H7&lt;21,COUNTIF(H$6:H7,"&lt;21"),"")</f>
        <v>2</v>
      </c>
      <c r="G7" s="440" t="str">
        <f t="shared" si="0"/>
        <v>Team 2</v>
      </c>
      <c r="H7" s="441">
        <v>2</v>
      </c>
      <c r="I7" s="442" t="s">
        <v>16</v>
      </c>
      <c r="J7" s="441">
        <v>3</v>
      </c>
      <c r="K7" s="440" t="str">
        <f t="shared" si="1"/>
        <v>Team 3</v>
      </c>
      <c r="L7" s="441">
        <v>1</v>
      </c>
      <c r="M7" s="440" t="str">
        <f t="shared" si="2"/>
        <v>Team 1</v>
      </c>
      <c r="N7" s="443"/>
      <c r="O7" s="444" t="s">
        <v>0</v>
      </c>
      <c r="P7" s="443"/>
      <c r="Q7" s="443"/>
      <c r="R7" s="444" t="s">
        <v>0</v>
      </c>
      <c r="S7" s="443"/>
      <c r="T7" s="443"/>
      <c r="U7" s="444" t="s">
        <v>0</v>
      </c>
      <c r="V7" s="443"/>
      <c r="W7" s="445"/>
      <c r="X7" s="445" t="str">
        <f t="shared" ref="X7:X30" si="5">IF(N7+P7&gt;0,IF(AB7&gt;0,IF(AB7&gt;AD7,2,IF(AB7&lt;AD7,0,1)),0),"")</f>
        <v/>
      </c>
      <c r="Y7" s="444" t="s">
        <v>0</v>
      </c>
      <c r="Z7" s="445" t="str">
        <f t="shared" ref="Z7:Z30" si="6">IF(N7+P7&gt;0,IF(AD7&gt;0,IF(AD7&gt;AB7,2,IF(AD7&lt;AB7,0,1)),0),"")</f>
        <v/>
      </c>
      <c r="AA7" s="445"/>
      <c r="AB7" s="445" t="str">
        <f t="shared" ref="AB7:AB30" si="7">IF(N7+P7&gt;0,IF(N7&gt;P7,1,0)+IF(Q7&gt;S7,1,0)+IF(T7&gt;V7,1,0),"")</f>
        <v/>
      </c>
      <c r="AC7" s="444" t="s">
        <v>0</v>
      </c>
      <c r="AD7" s="445" t="str">
        <f t="shared" ref="AD7:AD30" si="8">IF(N7+P7&gt;0,IF(N7&lt;P7,1,0)+IF(Q7&lt;S7,1,0)+IF(T7&lt;V7,1,0),"")</f>
        <v/>
      </c>
      <c r="AE7" s="446"/>
      <c r="AF7" s="445" t="str">
        <f t="shared" ref="AF7:AF30" si="9">IF(N7+P7&gt;0,N7+Q7+T7,"")</f>
        <v/>
      </c>
      <c r="AG7" s="444" t="s">
        <v>0</v>
      </c>
      <c r="AH7" s="447" t="str">
        <f t="shared" ref="AH7:AH30" si="10">IF(N7+P7&gt;0,P7+S7+V7,"")</f>
        <v/>
      </c>
      <c r="AJ7" s="4" t="str">
        <f t="shared" ref="AJ7:AJ30" si="11">M$4</f>
        <v>Ort</v>
      </c>
      <c r="AM7" s="4">
        <v>1</v>
      </c>
      <c r="AN7" s="4" t="str">
        <f>Platzierung!T21</f>
        <v>Team 1</v>
      </c>
      <c r="AQ7" s="4" t="s">
        <v>145</v>
      </c>
      <c r="AR7" s="4" t="str">
        <f>Platzierung!T22</f>
        <v>Team 2</v>
      </c>
    </row>
    <row r="8" spans="1:44" ht="16.5" thickBot="1">
      <c r="A8" s="150">
        <f t="shared" si="3"/>
        <v>3</v>
      </c>
      <c r="B8" s="151" t="str">
        <f t="shared" si="4"/>
        <v>Datum</v>
      </c>
      <c r="C8" s="448" t="s">
        <v>75</v>
      </c>
      <c r="D8" s="449">
        <v>3</v>
      </c>
      <c r="E8" s="450">
        <v>1</v>
      </c>
      <c r="F8" s="450">
        <f>IF(H8&lt;21,COUNTIF(H$6:H8,"&lt;21"),"")</f>
        <v>3</v>
      </c>
      <c r="G8" s="451" t="str">
        <f t="shared" si="0"/>
        <v>Team 3</v>
      </c>
      <c r="H8" s="452">
        <v>3</v>
      </c>
      <c r="I8" s="453" t="s">
        <v>16</v>
      </c>
      <c r="J8" s="452">
        <v>1</v>
      </c>
      <c r="K8" s="451" t="str">
        <f t="shared" si="1"/>
        <v>Team 1</v>
      </c>
      <c r="L8" s="452">
        <v>2</v>
      </c>
      <c r="M8" s="451" t="str">
        <f t="shared" si="2"/>
        <v>Team 2</v>
      </c>
      <c r="N8" s="454"/>
      <c r="O8" s="455" t="s">
        <v>0</v>
      </c>
      <c r="P8" s="454"/>
      <c r="Q8" s="454"/>
      <c r="R8" s="455" t="s">
        <v>0</v>
      </c>
      <c r="S8" s="454"/>
      <c r="T8" s="454"/>
      <c r="U8" s="455" t="s">
        <v>0</v>
      </c>
      <c r="V8" s="454"/>
      <c r="W8" s="456"/>
      <c r="X8" s="456" t="str">
        <f t="shared" si="5"/>
        <v/>
      </c>
      <c r="Y8" s="455" t="s">
        <v>0</v>
      </c>
      <c r="Z8" s="456" t="str">
        <f t="shared" si="6"/>
        <v/>
      </c>
      <c r="AA8" s="456"/>
      <c r="AB8" s="456" t="str">
        <f t="shared" si="7"/>
        <v/>
      </c>
      <c r="AC8" s="455" t="s">
        <v>0</v>
      </c>
      <c r="AD8" s="456" t="str">
        <f t="shared" si="8"/>
        <v/>
      </c>
      <c r="AE8" s="457"/>
      <c r="AF8" s="456" t="str">
        <f t="shared" si="9"/>
        <v/>
      </c>
      <c r="AG8" s="455" t="s">
        <v>0</v>
      </c>
      <c r="AH8" s="458" t="str">
        <f t="shared" si="10"/>
        <v/>
      </c>
      <c r="AJ8" s="4" t="str">
        <f t="shared" si="11"/>
        <v>Ort</v>
      </c>
      <c r="AM8" s="4">
        <v>2</v>
      </c>
      <c r="AN8" s="4" t="str">
        <f>Platzierung!T22</f>
        <v>Team 2</v>
      </c>
    </row>
    <row r="9" spans="1:44" ht="15.75">
      <c r="A9" s="150">
        <f t="shared" si="3"/>
        <v>4</v>
      </c>
      <c r="B9" s="151" t="str">
        <f t="shared" si="4"/>
        <v>Datum</v>
      </c>
      <c r="C9" s="393">
        <v>0.5</v>
      </c>
      <c r="D9" s="394">
        <v>4</v>
      </c>
      <c r="E9" s="395">
        <v>1</v>
      </c>
      <c r="F9" s="395">
        <f>IF(H9&lt;21,COUNTIF(H$6:H9,"&lt;21"),"")</f>
        <v>4</v>
      </c>
      <c r="G9" s="396" t="str">
        <f t="shared" si="0"/>
        <v>Team 4</v>
      </c>
      <c r="H9" s="397">
        <v>4</v>
      </c>
      <c r="I9" s="398" t="s">
        <v>16</v>
      </c>
      <c r="J9" s="397">
        <v>5</v>
      </c>
      <c r="K9" s="396" t="str">
        <f t="shared" si="1"/>
        <v>Team 5</v>
      </c>
      <c r="L9" s="397">
        <v>6</v>
      </c>
      <c r="M9" s="396" t="str">
        <f t="shared" si="2"/>
        <v>Team 6</v>
      </c>
      <c r="N9" s="399"/>
      <c r="O9" s="400" t="s">
        <v>0</v>
      </c>
      <c r="P9" s="399"/>
      <c r="Q9" s="399"/>
      <c r="R9" s="400" t="s">
        <v>0</v>
      </c>
      <c r="S9" s="399"/>
      <c r="T9" s="399"/>
      <c r="U9" s="400" t="s">
        <v>0</v>
      </c>
      <c r="V9" s="399"/>
      <c r="W9" s="401"/>
      <c r="X9" s="401" t="str">
        <f t="shared" si="5"/>
        <v/>
      </c>
      <c r="Y9" s="400" t="s">
        <v>0</v>
      </c>
      <c r="Z9" s="401" t="str">
        <f t="shared" si="6"/>
        <v/>
      </c>
      <c r="AA9" s="401"/>
      <c r="AB9" s="401" t="str">
        <f t="shared" si="7"/>
        <v/>
      </c>
      <c r="AC9" s="400" t="s">
        <v>0</v>
      </c>
      <c r="AD9" s="401" t="str">
        <f t="shared" si="8"/>
        <v/>
      </c>
      <c r="AE9" s="402"/>
      <c r="AF9" s="401" t="str">
        <f t="shared" si="9"/>
        <v/>
      </c>
      <c r="AG9" s="400" t="s">
        <v>0</v>
      </c>
      <c r="AH9" s="403" t="str">
        <f t="shared" si="10"/>
        <v/>
      </c>
      <c r="AJ9" s="4" t="str">
        <f t="shared" si="11"/>
        <v>Ort</v>
      </c>
      <c r="AM9" s="4">
        <v>3</v>
      </c>
      <c r="AN9" s="4" t="str">
        <f>Platzierung!T23</f>
        <v>Team 3</v>
      </c>
    </row>
    <row r="10" spans="1:44" ht="15.75">
      <c r="A10" s="150">
        <f t="shared" si="3"/>
        <v>5</v>
      </c>
      <c r="B10" s="151" t="str">
        <f t="shared" si="4"/>
        <v>Datum</v>
      </c>
      <c r="C10" s="404" t="s">
        <v>75</v>
      </c>
      <c r="D10" s="405">
        <v>5</v>
      </c>
      <c r="E10" s="406">
        <v>1</v>
      </c>
      <c r="F10" s="406">
        <f>IF(H10&lt;21,COUNTIF(H$6:H10,"&lt;21"),"")</f>
        <v>5</v>
      </c>
      <c r="G10" s="407" t="str">
        <f t="shared" si="0"/>
        <v>Team 5</v>
      </c>
      <c r="H10" s="408">
        <v>5</v>
      </c>
      <c r="I10" s="409" t="s">
        <v>16</v>
      </c>
      <c r="J10" s="408">
        <v>6</v>
      </c>
      <c r="K10" s="407" t="str">
        <f t="shared" si="1"/>
        <v>Team 6</v>
      </c>
      <c r="L10" s="408">
        <v>4</v>
      </c>
      <c r="M10" s="407" t="str">
        <f t="shared" si="2"/>
        <v>Team 4</v>
      </c>
      <c r="N10" s="410"/>
      <c r="O10" s="411" t="s">
        <v>0</v>
      </c>
      <c r="P10" s="410"/>
      <c r="Q10" s="410"/>
      <c r="R10" s="411" t="s">
        <v>0</v>
      </c>
      <c r="S10" s="410"/>
      <c r="T10" s="410"/>
      <c r="U10" s="411" t="s">
        <v>0</v>
      </c>
      <c r="V10" s="410"/>
      <c r="W10" s="412"/>
      <c r="X10" s="412" t="str">
        <f t="shared" si="5"/>
        <v/>
      </c>
      <c r="Y10" s="411" t="s">
        <v>0</v>
      </c>
      <c r="Z10" s="412" t="str">
        <f t="shared" si="6"/>
        <v/>
      </c>
      <c r="AA10" s="412"/>
      <c r="AB10" s="412" t="str">
        <f t="shared" si="7"/>
        <v/>
      </c>
      <c r="AC10" s="411" t="s">
        <v>0</v>
      </c>
      <c r="AD10" s="412" t="str">
        <f t="shared" si="8"/>
        <v/>
      </c>
      <c r="AE10" s="413"/>
      <c r="AF10" s="412" t="str">
        <f t="shared" si="9"/>
        <v/>
      </c>
      <c r="AG10" s="411" t="s">
        <v>0</v>
      </c>
      <c r="AH10" s="414" t="str">
        <f t="shared" si="10"/>
        <v/>
      </c>
      <c r="AJ10" s="4" t="str">
        <f t="shared" si="11"/>
        <v>Ort</v>
      </c>
      <c r="AM10" s="4">
        <v>4</v>
      </c>
      <c r="AN10" s="4" t="str">
        <f>Platzierung!T24</f>
        <v>Team 4</v>
      </c>
    </row>
    <row r="11" spans="1:44" ht="16.5" thickBot="1">
      <c r="A11" s="150">
        <f t="shared" si="3"/>
        <v>6</v>
      </c>
      <c r="B11" s="151" t="str">
        <f t="shared" si="4"/>
        <v>Datum</v>
      </c>
      <c r="C11" s="415" t="s">
        <v>75</v>
      </c>
      <c r="D11" s="416">
        <v>6</v>
      </c>
      <c r="E11" s="417">
        <v>1</v>
      </c>
      <c r="F11" s="417">
        <f>IF(H11&lt;21,COUNTIF(H$6:H11,"&lt;21"),"")</f>
        <v>6</v>
      </c>
      <c r="G11" s="418" t="str">
        <f t="shared" si="0"/>
        <v>Team 4</v>
      </c>
      <c r="H11" s="419">
        <v>4</v>
      </c>
      <c r="I11" s="420" t="s">
        <v>16</v>
      </c>
      <c r="J11" s="419">
        <v>6</v>
      </c>
      <c r="K11" s="418" t="str">
        <f t="shared" si="1"/>
        <v>Team 6</v>
      </c>
      <c r="L11" s="419">
        <v>5</v>
      </c>
      <c r="M11" s="418" t="str">
        <f t="shared" si="2"/>
        <v>Team 5</v>
      </c>
      <c r="N11" s="421"/>
      <c r="O11" s="422" t="s">
        <v>0</v>
      </c>
      <c r="P11" s="421"/>
      <c r="Q11" s="421"/>
      <c r="R11" s="422" t="s">
        <v>0</v>
      </c>
      <c r="S11" s="421"/>
      <c r="T11" s="421"/>
      <c r="U11" s="422" t="s">
        <v>0</v>
      </c>
      <c r="V11" s="421"/>
      <c r="W11" s="423"/>
      <c r="X11" s="423" t="str">
        <f t="shared" si="5"/>
        <v/>
      </c>
      <c r="Y11" s="422" t="s">
        <v>0</v>
      </c>
      <c r="Z11" s="423" t="str">
        <f t="shared" si="6"/>
        <v/>
      </c>
      <c r="AA11" s="423"/>
      <c r="AB11" s="423" t="str">
        <f t="shared" si="7"/>
        <v/>
      </c>
      <c r="AC11" s="422" t="s">
        <v>0</v>
      </c>
      <c r="AD11" s="423" t="str">
        <f t="shared" si="8"/>
        <v/>
      </c>
      <c r="AE11" s="424"/>
      <c r="AF11" s="423" t="str">
        <f t="shared" si="9"/>
        <v/>
      </c>
      <c r="AG11" s="422" t="s">
        <v>0</v>
      </c>
      <c r="AH11" s="425" t="str">
        <f t="shared" si="10"/>
        <v/>
      </c>
      <c r="AJ11" s="4" t="str">
        <f t="shared" si="11"/>
        <v>Ort</v>
      </c>
      <c r="AM11" s="4">
        <v>5</v>
      </c>
      <c r="AN11" s="4" t="str">
        <f>Platzierung!T25</f>
        <v>Team 5</v>
      </c>
    </row>
    <row r="12" spans="1:44" ht="15.75">
      <c r="A12" s="150">
        <f t="shared" si="3"/>
        <v>7</v>
      </c>
      <c r="B12" s="151" t="str">
        <f t="shared" si="4"/>
        <v>Datum</v>
      </c>
      <c r="C12" s="360">
        <v>0.60416666666666663</v>
      </c>
      <c r="D12" s="361">
        <v>7</v>
      </c>
      <c r="E12" s="362">
        <v>1</v>
      </c>
      <c r="F12" s="362">
        <f>IF(H12&lt;21,COUNTIF(H$6:H12,"&lt;21"),"")</f>
        <v>7</v>
      </c>
      <c r="G12" s="363" t="str">
        <f t="shared" si="0"/>
        <v>Team 7</v>
      </c>
      <c r="H12" s="364">
        <v>7</v>
      </c>
      <c r="I12" s="365" t="s">
        <v>16</v>
      </c>
      <c r="J12" s="364">
        <v>8</v>
      </c>
      <c r="K12" s="363" t="str">
        <f t="shared" si="1"/>
        <v>Team 8</v>
      </c>
      <c r="L12" s="364">
        <v>9</v>
      </c>
      <c r="M12" s="363" t="e">
        <f t="shared" si="2"/>
        <v>#REF!</v>
      </c>
      <c r="N12" s="366"/>
      <c r="O12" s="367" t="s">
        <v>0</v>
      </c>
      <c r="P12" s="366"/>
      <c r="Q12" s="366"/>
      <c r="R12" s="367" t="s">
        <v>0</v>
      </c>
      <c r="S12" s="366"/>
      <c r="T12" s="366"/>
      <c r="U12" s="367" t="s">
        <v>0</v>
      </c>
      <c r="V12" s="366"/>
      <c r="W12" s="368"/>
      <c r="X12" s="368" t="str">
        <f t="shared" si="5"/>
        <v/>
      </c>
      <c r="Y12" s="367" t="s">
        <v>0</v>
      </c>
      <c r="Z12" s="368" t="str">
        <f t="shared" si="6"/>
        <v/>
      </c>
      <c r="AA12" s="368"/>
      <c r="AB12" s="368" t="str">
        <f t="shared" si="7"/>
        <v/>
      </c>
      <c r="AC12" s="367" t="s">
        <v>0</v>
      </c>
      <c r="AD12" s="368" t="str">
        <f t="shared" si="8"/>
        <v/>
      </c>
      <c r="AE12" s="369"/>
      <c r="AF12" s="368" t="str">
        <f t="shared" si="9"/>
        <v/>
      </c>
      <c r="AG12" s="367" t="s">
        <v>0</v>
      </c>
      <c r="AH12" s="370" t="str">
        <f t="shared" si="10"/>
        <v/>
      </c>
      <c r="AJ12" s="4" t="str">
        <f t="shared" si="11"/>
        <v>Ort</v>
      </c>
      <c r="AM12" s="4">
        <v>6</v>
      </c>
      <c r="AN12" s="4" t="str">
        <f>Platzierung!T26</f>
        <v>Team 6</v>
      </c>
    </row>
    <row r="13" spans="1:44" ht="15.75">
      <c r="A13" s="150">
        <f t="shared" si="3"/>
        <v>8</v>
      </c>
      <c r="B13" s="151" t="str">
        <f t="shared" si="4"/>
        <v>Datum</v>
      </c>
      <c r="C13" s="371" t="s">
        <v>75</v>
      </c>
      <c r="D13" s="372">
        <v>8</v>
      </c>
      <c r="E13" s="373">
        <v>1</v>
      </c>
      <c r="F13" s="373">
        <f>IF(H13&lt;21,COUNTIF(H$6:H13,"&lt;21"),"")</f>
        <v>8</v>
      </c>
      <c r="G13" s="374" t="str">
        <f t="shared" si="0"/>
        <v>Team 8</v>
      </c>
      <c r="H13" s="375">
        <v>8</v>
      </c>
      <c r="I13" s="376" t="s">
        <v>16</v>
      </c>
      <c r="J13" s="375">
        <v>9</v>
      </c>
      <c r="K13" s="374" t="e">
        <f t="shared" si="1"/>
        <v>#REF!</v>
      </c>
      <c r="L13" s="375">
        <v>7</v>
      </c>
      <c r="M13" s="374" t="str">
        <f t="shared" si="2"/>
        <v>Team 7</v>
      </c>
      <c r="N13" s="377"/>
      <c r="O13" s="378" t="s">
        <v>0</v>
      </c>
      <c r="P13" s="377"/>
      <c r="Q13" s="377"/>
      <c r="R13" s="378" t="s">
        <v>0</v>
      </c>
      <c r="S13" s="377"/>
      <c r="T13" s="377"/>
      <c r="U13" s="378" t="s">
        <v>0</v>
      </c>
      <c r="V13" s="377"/>
      <c r="W13" s="379"/>
      <c r="X13" s="379" t="str">
        <f t="shared" si="5"/>
        <v/>
      </c>
      <c r="Y13" s="378" t="s">
        <v>0</v>
      </c>
      <c r="Z13" s="379" t="str">
        <f t="shared" si="6"/>
        <v/>
      </c>
      <c r="AA13" s="379"/>
      <c r="AB13" s="379" t="str">
        <f t="shared" si="7"/>
        <v/>
      </c>
      <c r="AC13" s="378" t="s">
        <v>0</v>
      </c>
      <c r="AD13" s="379" t="str">
        <f t="shared" si="8"/>
        <v/>
      </c>
      <c r="AE13" s="380"/>
      <c r="AF13" s="379" t="str">
        <f t="shared" si="9"/>
        <v/>
      </c>
      <c r="AG13" s="378" t="s">
        <v>0</v>
      </c>
      <c r="AH13" s="381" t="str">
        <f t="shared" si="10"/>
        <v/>
      </c>
      <c r="AJ13" s="4" t="str">
        <f t="shared" si="11"/>
        <v>Ort</v>
      </c>
      <c r="AM13" s="4">
        <v>7</v>
      </c>
      <c r="AN13" s="4" t="str">
        <f>Platzierung!T27</f>
        <v>Team 7</v>
      </c>
    </row>
    <row r="14" spans="1:44" ht="16.5" thickBot="1">
      <c r="A14" s="150">
        <f t="shared" si="3"/>
        <v>9</v>
      </c>
      <c r="B14" s="151" t="str">
        <f t="shared" si="4"/>
        <v>Datum</v>
      </c>
      <c r="C14" s="382" t="s">
        <v>75</v>
      </c>
      <c r="D14" s="383">
        <v>9</v>
      </c>
      <c r="E14" s="384">
        <v>1</v>
      </c>
      <c r="F14" s="384">
        <f>IF(H14&lt;21,COUNTIF(H$6:H14,"&lt;21"),"")</f>
        <v>9</v>
      </c>
      <c r="G14" s="385" t="e">
        <f t="shared" si="0"/>
        <v>#REF!</v>
      </c>
      <c r="H14" s="386">
        <v>9</v>
      </c>
      <c r="I14" s="387" t="s">
        <v>16</v>
      </c>
      <c r="J14" s="386">
        <v>7</v>
      </c>
      <c r="K14" s="385" t="str">
        <f t="shared" si="1"/>
        <v>Team 7</v>
      </c>
      <c r="L14" s="386">
        <v>8</v>
      </c>
      <c r="M14" s="385" t="str">
        <f t="shared" si="2"/>
        <v>Team 8</v>
      </c>
      <c r="N14" s="388"/>
      <c r="O14" s="389" t="s">
        <v>0</v>
      </c>
      <c r="P14" s="388"/>
      <c r="Q14" s="388"/>
      <c r="R14" s="389" t="s">
        <v>0</v>
      </c>
      <c r="S14" s="388"/>
      <c r="T14" s="388"/>
      <c r="U14" s="389" t="s">
        <v>0</v>
      </c>
      <c r="V14" s="388"/>
      <c r="W14" s="390"/>
      <c r="X14" s="390" t="str">
        <f t="shared" si="5"/>
        <v/>
      </c>
      <c r="Y14" s="389" t="s">
        <v>0</v>
      </c>
      <c r="Z14" s="390" t="str">
        <f t="shared" si="6"/>
        <v/>
      </c>
      <c r="AA14" s="390"/>
      <c r="AB14" s="390" t="str">
        <f t="shared" si="7"/>
        <v/>
      </c>
      <c r="AC14" s="389" t="s">
        <v>0</v>
      </c>
      <c r="AD14" s="390" t="str">
        <f t="shared" si="8"/>
        <v/>
      </c>
      <c r="AE14" s="391"/>
      <c r="AF14" s="390" t="str">
        <f t="shared" si="9"/>
        <v/>
      </c>
      <c r="AG14" s="389" t="s">
        <v>0</v>
      </c>
      <c r="AH14" s="392" t="str">
        <f t="shared" si="10"/>
        <v/>
      </c>
      <c r="AJ14" s="4" t="str">
        <f t="shared" si="11"/>
        <v>Ort</v>
      </c>
      <c r="AM14" s="4">
        <v>8</v>
      </c>
      <c r="AN14" s="4" t="str">
        <f>Platzierung!T28</f>
        <v>Team 8</v>
      </c>
    </row>
    <row r="15" spans="1:44" ht="15.75" hidden="1">
      <c r="A15" s="150" t="str">
        <f t="shared" si="3"/>
        <v/>
      </c>
      <c r="B15" s="151" t="str">
        <f t="shared" si="4"/>
        <v>Datum</v>
      </c>
      <c r="C15" s="41" t="s">
        <v>75</v>
      </c>
      <c r="D15" s="42"/>
      <c r="E15" s="3">
        <v>1</v>
      </c>
      <c r="F15" s="3" t="str">
        <f>IF(H15&lt;21,COUNTIF(H$6:H15,"&lt;21"),"")</f>
        <v/>
      </c>
      <c r="G15" s="7" t="str">
        <f t="shared" si="0"/>
        <v/>
      </c>
      <c r="H15" s="345">
        <v>21</v>
      </c>
      <c r="I15" s="30" t="s">
        <v>16</v>
      </c>
      <c r="J15" s="345">
        <v>21</v>
      </c>
      <c r="K15" s="7" t="str">
        <f t="shared" si="1"/>
        <v/>
      </c>
      <c r="L15" s="345">
        <v>21</v>
      </c>
      <c r="M15" s="7" t="str">
        <f t="shared" si="2"/>
        <v/>
      </c>
      <c r="N15" s="39"/>
      <c r="O15" s="40" t="s">
        <v>0</v>
      </c>
      <c r="P15" s="39"/>
      <c r="Q15" s="39"/>
      <c r="R15" s="40" t="s">
        <v>0</v>
      </c>
      <c r="S15" s="39"/>
      <c r="T15" s="39"/>
      <c r="U15" s="40" t="s">
        <v>0</v>
      </c>
      <c r="V15" s="39"/>
      <c r="W15" s="38"/>
      <c r="X15" s="38" t="str">
        <f t="shared" si="5"/>
        <v/>
      </c>
      <c r="Y15" s="40" t="s">
        <v>0</v>
      </c>
      <c r="Z15" s="38" t="str">
        <f t="shared" si="6"/>
        <v/>
      </c>
      <c r="AA15" s="38"/>
      <c r="AB15" s="38" t="str">
        <f t="shared" si="7"/>
        <v/>
      </c>
      <c r="AC15" s="40" t="s">
        <v>0</v>
      </c>
      <c r="AD15" s="38" t="str">
        <f t="shared" si="8"/>
        <v/>
      </c>
      <c r="AE15" s="57"/>
      <c r="AF15" s="38" t="str">
        <f t="shared" si="9"/>
        <v/>
      </c>
      <c r="AG15" s="40" t="s">
        <v>0</v>
      </c>
      <c r="AH15" s="38" t="str">
        <f t="shared" si="10"/>
        <v/>
      </c>
      <c r="AJ15" s="4" t="str">
        <f t="shared" si="11"/>
        <v>Ort</v>
      </c>
      <c r="AM15" s="4">
        <v>14</v>
      </c>
      <c r="AN15" s="4" t="e">
        <f>Platzierung!#REF!</f>
        <v>#REF!</v>
      </c>
    </row>
    <row r="16" spans="1:44" ht="15.75" hidden="1">
      <c r="A16" s="150" t="str">
        <f t="shared" si="3"/>
        <v/>
      </c>
      <c r="B16" s="151" t="str">
        <f t="shared" si="4"/>
        <v>Datum</v>
      </c>
      <c r="C16" s="41" t="s">
        <v>75</v>
      </c>
      <c r="D16" s="42"/>
      <c r="E16" s="3">
        <v>1</v>
      </c>
      <c r="F16" s="3" t="str">
        <f>IF(H16&lt;21,COUNTIF(H$6:H16,"&lt;21"),"")</f>
        <v/>
      </c>
      <c r="G16" s="7" t="str">
        <f t="shared" si="0"/>
        <v/>
      </c>
      <c r="H16" s="345">
        <v>21</v>
      </c>
      <c r="I16" s="30" t="s">
        <v>16</v>
      </c>
      <c r="J16" s="345">
        <v>21</v>
      </c>
      <c r="K16" s="7" t="str">
        <f t="shared" si="1"/>
        <v/>
      </c>
      <c r="L16" s="345">
        <v>21</v>
      </c>
      <c r="M16" s="7" t="str">
        <f t="shared" si="2"/>
        <v/>
      </c>
      <c r="N16" s="39"/>
      <c r="O16" s="40" t="s">
        <v>0</v>
      </c>
      <c r="P16" s="39"/>
      <c r="Q16" s="39"/>
      <c r="R16" s="40" t="s">
        <v>0</v>
      </c>
      <c r="S16" s="39"/>
      <c r="T16" s="39"/>
      <c r="U16" s="40" t="s">
        <v>0</v>
      </c>
      <c r="V16" s="39"/>
      <c r="W16" s="38"/>
      <c r="X16" s="38" t="str">
        <f t="shared" si="5"/>
        <v/>
      </c>
      <c r="Y16" s="40" t="s">
        <v>0</v>
      </c>
      <c r="Z16" s="38" t="str">
        <f t="shared" si="6"/>
        <v/>
      </c>
      <c r="AA16" s="38"/>
      <c r="AB16" s="38" t="str">
        <f t="shared" si="7"/>
        <v/>
      </c>
      <c r="AC16" s="40" t="s">
        <v>0</v>
      </c>
      <c r="AD16" s="38" t="str">
        <f t="shared" si="8"/>
        <v/>
      </c>
      <c r="AE16" s="57"/>
      <c r="AF16" s="38" t="str">
        <f t="shared" si="9"/>
        <v/>
      </c>
      <c r="AG16" s="40" t="s">
        <v>0</v>
      </c>
      <c r="AH16" s="38" t="str">
        <f t="shared" si="10"/>
        <v/>
      </c>
      <c r="AJ16" s="4" t="str">
        <f t="shared" si="11"/>
        <v>Ort</v>
      </c>
      <c r="AM16" s="4">
        <v>15</v>
      </c>
      <c r="AN16" s="4" t="e">
        <f>Platzierung!#REF!</f>
        <v>#REF!</v>
      </c>
    </row>
    <row r="17" spans="1:40" ht="15.75" hidden="1">
      <c r="A17" s="150" t="str">
        <f t="shared" si="3"/>
        <v/>
      </c>
      <c r="B17" s="151" t="str">
        <f t="shared" si="4"/>
        <v>Datum</v>
      </c>
      <c r="C17" s="41" t="s">
        <v>75</v>
      </c>
      <c r="D17" s="42"/>
      <c r="E17" s="3">
        <v>1</v>
      </c>
      <c r="F17" s="3" t="str">
        <f>IF(H17&lt;21,COUNTIF(H$6:H17,"&lt;21"),"")</f>
        <v/>
      </c>
      <c r="G17" s="7" t="str">
        <f t="shared" si="0"/>
        <v/>
      </c>
      <c r="H17" s="345">
        <v>21</v>
      </c>
      <c r="I17" s="30" t="s">
        <v>16</v>
      </c>
      <c r="J17" s="345">
        <v>21</v>
      </c>
      <c r="K17" s="7" t="str">
        <f t="shared" si="1"/>
        <v/>
      </c>
      <c r="L17" s="345">
        <v>21</v>
      </c>
      <c r="M17" s="7" t="str">
        <f t="shared" si="2"/>
        <v/>
      </c>
      <c r="N17" s="39"/>
      <c r="O17" s="40" t="s">
        <v>0</v>
      </c>
      <c r="P17" s="39"/>
      <c r="Q17" s="39"/>
      <c r="R17" s="40" t="s">
        <v>0</v>
      </c>
      <c r="S17" s="39"/>
      <c r="T17" s="39"/>
      <c r="U17" s="40" t="s">
        <v>0</v>
      </c>
      <c r="V17" s="39"/>
      <c r="W17" s="38"/>
      <c r="X17" s="38" t="str">
        <f t="shared" si="5"/>
        <v/>
      </c>
      <c r="Y17" s="40" t="s">
        <v>0</v>
      </c>
      <c r="Z17" s="38" t="str">
        <f t="shared" si="6"/>
        <v/>
      </c>
      <c r="AA17" s="38"/>
      <c r="AB17" s="38" t="str">
        <f t="shared" si="7"/>
        <v/>
      </c>
      <c r="AC17" s="40" t="s">
        <v>0</v>
      </c>
      <c r="AD17" s="38" t="str">
        <f t="shared" si="8"/>
        <v/>
      </c>
      <c r="AE17" s="57"/>
      <c r="AF17" s="38" t="str">
        <f t="shared" si="9"/>
        <v/>
      </c>
      <c r="AG17" s="40" t="s">
        <v>0</v>
      </c>
      <c r="AH17" s="38" t="str">
        <f t="shared" si="10"/>
        <v/>
      </c>
      <c r="AJ17" s="4" t="str">
        <f t="shared" si="11"/>
        <v>Ort</v>
      </c>
      <c r="AM17" s="4">
        <v>16</v>
      </c>
      <c r="AN17" s="4" t="e">
        <f>Platzierung!#REF!</f>
        <v>#REF!</v>
      </c>
    </row>
    <row r="18" spans="1:40" ht="15.75" hidden="1">
      <c r="A18" s="150" t="str">
        <f t="shared" si="3"/>
        <v/>
      </c>
      <c r="B18" s="151" t="str">
        <f t="shared" si="4"/>
        <v>Datum</v>
      </c>
      <c r="C18" s="41" t="s">
        <v>75</v>
      </c>
      <c r="D18" s="42"/>
      <c r="E18" s="3">
        <v>1</v>
      </c>
      <c r="F18" s="3" t="str">
        <f>IF(H18&lt;21,COUNTIF(H$6:H18,"&lt;21"),"")</f>
        <v/>
      </c>
      <c r="G18" s="7" t="str">
        <f t="shared" si="0"/>
        <v/>
      </c>
      <c r="H18" s="345">
        <v>21</v>
      </c>
      <c r="I18" s="30" t="s">
        <v>16</v>
      </c>
      <c r="J18" s="345">
        <v>21</v>
      </c>
      <c r="K18" s="7" t="str">
        <f t="shared" si="1"/>
        <v/>
      </c>
      <c r="L18" s="345">
        <v>21</v>
      </c>
      <c r="M18" s="7" t="str">
        <f t="shared" si="2"/>
        <v/>
      </c>
      <c r="N18" s="39"/>
      <c r="O18" s="40" t="s">
        <v>0</v>
      </c>
      <c r="P18" s="39"/>
      <c r="Q18" s="39"/>
      <c r="R18" s="40" t="s">
        <v>0</v>
      </c>
      <c r="S18" s="39"/>
      <c r="T18" s="39"/>
      <c r="U18" s="40" t="s">
        <v>0</v>
      </c>
      <c r="V18" s="39"/>
      <c r="W18" s="38"/>
      <c r="X18" s="38" t="str">
        <f t="shared" si="5"/>
        <v/>
      </c>
      <c r="Y18" s="40" t="s">
        <v>0</v>
      </c>
      <c r="Z18" s="38" t="str">
        <f t="shared" si="6"/>
        <v/>
      </c>
      <c r="AA18" s="38"/>
      <c r="AB18" s="38" t="str">
        <f t="shared" si="7"/>
        <v/>
      </c>
      <c r="AC18" s="40" t="s">
        <v>0</v>
      </c>
      <c r="AD18" s="38" t="str">
        <f t="shared" si="8"/>
        <v/>
      </c>
      <c r="AE18" s="57"/>
      <c r="AF18" s="38" t="str">
        <f t="shared" si="9"/>
        <v/>
      </c>
      <c r="AG18" s="40" t="s">
        <v>0</v>
      </c>
      <c r="AH18" s="38" t="str">
        <f t="shared" si="10"/>
        <v/>
      </c>
      <c r="AJ18" s="4" t="str">
        <f t="shared" si="11"/>
        <v>Ort</v>
      </c>
      <c r="AM18" s="4">
        <v>17</v>
      </c>
      <c r="AN18" s="4" t="e">
        <f>Platzierung!#REF!</f>
        <v>#REF!</v>
      </c>
    </row>
    <row r="19" spans="1:40" ht="15.75" hidden="1">
      <c r="A19" s="150" t="str">
        <f t="shared" si="3"/>
        <v/>
      </c>
      <c r="B19" s="151" t="str">
        <f t="shared" si="4"/>
        <v>Datum</v>
      </c>
      <c r="C19" s="41" t="s">
        <v>75</v>
      </c>
      <c r="D19" s="42"/>
      <c r="E19" s="3">
        <v>1</v>
      </c>
      <c r="F19" s="3" t="str">
        <f>IF(H19&lt;21,COUNTIF(H$6:H19,"&lt;21"),"")</f>
        <v/>
      </c>
      <c r="G19" s="7" t="str">
        <f t="shared" si="0"/>
        <v/>
      </c>
      <c r="H19" s="345">
        <v>21</v>
      </c>
      <c r="I19" s="30" t="s">
        <v>16</v>
      </c>
      <c r="J19" s="345">
        <v>21</v>
      </c>
      <c r="K19" s="7" t="str">
        <f t="shared" si="1"/>
        <v/>
      </c>
      <c r="L19" s="345">
        <v>21</v>
      </c>
      <c r="M19" s="7" t="str">
        <f t="shared" si="2"/>
        <v/>
      </c>
      <c r="N19" s="39"/>
      <c r="O19" s="40" t="s">
        <v>0</v>
      </c>
      <c r="P19" s="39"/>
      <c r="Q19" s="39"/>
      <c r="R19" s="40" t="s">
        <v>0</v>
      </c>
      <c r="S19" s="39"/>
      <c r="T19" s="39"/>
      <c r="U19" s="40" t="s">
        <v>0</v>
      </c>
      <c r="V19" s="39"/>
      <c r="W19" s="38"/>
      <c r="X19" s="38" t="str">
        <f t="shared" si="5"/>
        <v/>
      </c>
      <c r="Y19" s="40" t="s">
        <v>0</v>
      </c>
      <c r="Z19" s="38" t="str">
        <f t="shared" si="6"/>
        <v/>
      </c>
      <c r="AA19" s="38"/>
      <c r="AB19" s="38" t="str">
        <f t="shared" si="7"/>
        <v/>
      </c>
      <c r="AC19" s="40" t="s">
        <v>0</v>
      </c>
      <c r="AD19" s="38" t="str">
        <f t="shared" si="8"/>
        <v/>
      </c>
      <c r="AE19" s="57"/>
      <c r="AF19" s="38" t="str">
        <f t="shared" si="9"/>
        <v/>
      </c>
      <c r="AG19" s="40" t="s">
        <v>0</v>
      </c>
      <c r="AH19" s="38" t="str">
        <f t="shared" si="10"/>
        <v/>
      </c>
      <c r="AJ19" s="4" t="str">
        <f t="shared" si="11"/>
        <v>Ort</v>
      </c>
      <c r="AM19" s="4">
        <v>18</v>
      </c>
      <c r="AN19" s="4" t="e">
        <f>Platzierung!#REF!</f>
        <v>#REF!</v>
      </c>
    </row>
    <row r="20" spans="1:40" ht="15.75" hidden="1">
      <c r="A20" s="150" t="str">
        <f t="shared" si="3"/>
        <v/>
      </c>
      <c r="B20" s="151" t="str">
        <f t="shared" si="4"/>
        <v>Datum</v>
      </c>
      <c r="C20" s="41" t="s">
        <v>75</v>
      </c>
      <c r="D20" s="42"/>
      <c r="E20" s="3">
        <v>1</v>
      </c>
      <c r="F20" s="3" t="str">
        <f>IF(H20&lt;21,COUNTIF(H$6:H20,"&lt;21"),"")</f>
        <v/>
      </c>
      <c r="G20" s="7" t="str">
        <f t="shared" si="0"/>
        <v/>
      </c>
      <c r="H20" s="345">
        <v>21</v>
      </c>
      <c r="I20" s="30" t="s">
        <v>16</v>
      </c>
      <c r="J20" s="345">
        <v>21</v>
      </c>
      <c r="K20" s="7" t="str">
        <f t="shared" si="1"/>
        <v/>
      </c>
      <c r="L20" s="345">
        <v>21</v>
      </c>
      <c r="M20" s="7" t="str">
        <f t="shared" si="2"/>
        <v/>
      </c>
      <c r="N20" s="39"/>
      <c r="O20" s="40" t="s">
        <v>0</v>
      </c>
      <c r="P20" s="39"/>
      <c r="Q20" s="39"/>
      <c r="R20" s="40" t="s">
        <v>0</v>
      </c>
      <c r="S20" s="39"/>
      <c r="T20" s="39"/>
      <c r="U20" s="40" t="s">
        <v>0</v>
      </c>
      <c r="V20" s="39"/>
      <c r="W20" s="38"/>
      <c r="X20" s="38" t="str">
        <f t="shared" si="5"/>
        <v/>
      </c>
      <c r="Y20" s="40" t="s">
        <v>0</v>
      </c>
      <c r="Z20" s="38" t="str">
        <f t="shared" si="6"/>
        <v/>
      </c>
      <c r="AA20" s="38"/>
      <c r="AB20" s="38" t="str">
        <f t="shared" si="7"/>
        <v/>
      </c>
      <c r="AC20" s="40" t="s">
        <v>0</v>
      </c>
      <c r="AD20" s="38" t="str">
        <f t="shared" si="8"/>
        <v/>
      </c>
      <c r="AE20" s="57"/>
      <c r="AF20" s="38" t="str">
        <f t="shared" si="9"/>
        <v/>
      </c>
      <c r="AG20" s="40" t="s">
        <v>0</v>
      </c>
      <c r="AH20" s="38" t="str">
        <f t="shared" si="10"/>
        <v/>
      </c>
      <c r="AJ20" s="4" t="str">
        <f t="shared" si="11"/>
        <v>Ort</v>
      </c>
      <c r="AM20" s="4">
        <v>19</v>
      </c>
      <c r="AN20" s="4" t="e">
        <f>Platzierung!#REF!</f>
        <v>#REF!</v>
      </c>
    </row>
    <row r="21" spans="1:40" ht="15.75" hidden="1">
      <c r="A21" s="150" t="str">
        <f t="shared" si="3"/>
        <v/>
      </c>
      <c r="B21" s="151" t="str">
        <f t="shared" si="4"/>
        <v>Datum</v>
      </c>
      <c r="C21" s="41" t="s">
        <v>75</v>
      </c>
      <c r="D21" s="42"/>
      <c r="E21" s="3">
        <v>1</v>
      </c>
      <c r="F21" s="3" t="str">
        <f>IF(H21&lt;21,COUNTIF(H$6:H21,"&lt;21"),"")</f>
        <v/>
      </c>
      <c r="G21" s="7" t="str">
        <f t="shared" si="0"/>
        <v/>
      </c>
      <c r="H21" s="345">
        <v>21</v>
      </c>
      <c r="I21" s="30" t="s">
        <v>16</v>
      </c>
      <c r="J21" s="345">
        <v>21</v>
      </c>
      <c r="K21" s="7" t="str">
        <f t="shared" si="1"/>
        <v/>
      </c>
      <c r="L21" s="345">
        <v>21</v>
      </c>
      <c r="M21" s="7" t="str">
        <f t="shared" si="2"/>
        <v/>
      </c>
      <c r="N21" s="39"/>
      <c r="O21" s="40" t="s">
        <v>0</v>
      </c>
      <c r="P21" s="39"/>
      <c r="Q21" s="39"/>
      <c r="R21" s="40" t="s">
        <v>0</v>
      </c>
      <c r="S21" s="39"/>
      <c r="T21" s="39"/>
      <c r="U21" s="40" t="s">
        <v>0</v>
      </c>
      <c r="V21" s="39"/>
      <c r="W21" s="38"/>
      <c r="X21" s="38" t="str">
        <f t="shared" si="5"/>
        <v/>
      </c>
      <c r="Y21" s="40" t="s">
        <v>0</v>
      </c>
      <c r="Z21" s="38" t="str">
        <f t="shared" si="6"/>
        <v/>
      </c>
      <c r="AA21" s="38"/>
      <c r="AB21" s="38" t="str">
        <f t="shared" si="7"/>
        <v/>
      </c>
      <c r="AC21" s="40" t="s">
        <v>0</v>
      </c>
      <c r="AD21" s="38" t="str">
        <f t="shared" si="8"/>
        <v/>
      </c>
      <c r="AE21" s="57"/>
      <c r="AF21" s="38" t="str">
        <f t="shared" si="9"/>
        <v/>
      </c>
      <c r="AG21" s="40" t="s">
        <v>0</v>
      </c>
      <c r="AH21" s="38" t="str">
        <f t="shared" si="10"/>
        <v/>
      </c>
      <c r="AJ21" s="4" t="str">
        <f t="shared" si="11"/>
        <v>Ort</v>
      </c>
      <c r="AM21" s="4">
        <v>20</v>
      </c>
      <c r="AN21" s="4" t="e">
        <f>Platzierung!#REF!</f>
        <v>#REF!</v>
      </c>
    </row>
    <row r="22" spans="1:40" ht="15.75" hidden="1">
      <c r="A22" s="150" t="str">
        <f t="shared" si="3"/>
        <v/>
      </c>
      <c r="B22" s="151" t="str">
        <f t="shared" si="4"/>
        <v>Datum</v>
      </c>
      <c r="C22" s="41" t="s">
        <v>75</v>
      </c>
      <c r="D22" s="42"/>
      <c r="E22" s="3">
        <v>1</v>
      </c>
      <c r="F22" s="3" t="str">
        <f>IF(H22&lt;21,COUNTIF(H$6:H22,"&lt;21"),"")</f>
        <v/>
      </c>
      <c r="G22" s="7" t="str">
        <f t="shared" si="0"/>
        <v/>
      </c>
      <c r="H22" s="345">
        <v>21</v>
      </c>
      <c r="I22" s="30" t="s">
        <v>16</v>
      </c>
      <c r="J22" s="345">
        <v>21</v>
      </c>
      <c r="K22" s="7" t="str">
        <f t="shared" si="1"/>
        <v/>
      </c>
      <c r="L22" s="345">
        <v>21</v>
      </c>
      <c r="M22" s="7" t="str">
        <f t="shared" si="2"/>
        <v/>
      </c>
      <c r="N22" s="39"/>
      <c r="O22" s="40" t="s">
        <v>0</v>
      </c>
      <c r="P22" s="39"/>
      <c r="Q22" s="39"/>
      <c r="R22" s="40" t="s">
        <v>0</v>
      </c>
      <c r="S22" s="39"/>
      <c r="T22" s="39"/>
      <c r="U22" s="40" t="s">
        <v>0</v>
      </c>
      <c r="V22" s="39"/>
      <c r="W22" s="38"/>
      <c r="X22" s="38" t="str">
        <f t="shared" si="5"/>
        <v/>
      </c>
      <c r="Y22" s="40" t="s">
        <v>0</v>
      </c>
      <c r="Z22" s="38" t="str">
        <f t="shared" si="6"/>
        <v/>
      </c>
      <c r="AA22" s="38"/>
      <c r="AB22" s="38" t="str">
        <f t="shared" si="7"/>
        <v/>
      </c>
      <c r="AC22" s="40" t="s">
        <v>0</v>
      </c>
      <c r="AD22" s="38" t="str">
        <f t="shared" si="8"/>
        <v/>
      </c>
      <c r="AE22" s="57"/>
      <c r="AF22" s="38" t="str">
        <f t="shared" si="9"/>
        <v/>
      </c>
      <c r="AG22" s="40" t="s">
        <v>0</v>
      </c>
      <c r="AH22" s="38" t="str">
        <f t="shared" si="10"/>
        <v/>
      </c>
      <c r="AJ22" s="4" t="str">
        <f t="shared" si="11"/>
        <v>Ort</v>
      </c>
      <c r="AM22" s="4">
        <v>21</v>
      </c>
      <c r="AN22" s="347"/>
    </row>
    <row r="23" spans="1:40" ht="15.75" hidden="1">
      <c r="A23" s="150" t="str">
        <f t="shared" si="3"/>
        <v/>
      </c>
      <c r="B23" s="151" t="str">
        <f t="shared" si="4"/>
        <v>Datum</v>
      </c>
      <c r="C23" s="41" t="s">
        <v>75</v>
      </c>
      <c r="D23" s="42"/>
      <c r="E23" s="3">
        <v>1</v>
      </c>
      <c r="F23" s="3" t="str">
        <f>IF(H23&lt;21,COUNTIF(H$6:H23,"&lt;21"),"")</f>
        <v/>
      </c>
      <c r="G23" s="7" t="str">
        <f t="shared" si="0"/>
        <v/>
      </c>
      <c r="H23" s="345">
        <v>21</v>
      </c>
      <c r="I23" s="30" t="s">
        <v>16</v>
      </c>
      <c r="J23" s="345">
        <v>21</v>
      </c>
      <c r="K23" s="7" t="str">
        <f t="shared" si="1"/>
        <v/>
      </c>
      <c r="L23" s="345">
        <v>21</v>
      </c>
      <c r="M23" s="7" t="str">
        <f t="shared" si="2"/>
        <v/>
      </c>
      <c r="N23" s="39"/>
      <c r="O23" s="40" t="s">
        <v>0</v>
      </c>
      <c r="P23" s="39"/>
      <c r="Q23" s="39"/>
      <c r="R23" s="40" t="s">
        <v>0</v>
      </c>
      <c r="S23" s="39"/>
      <c r="T23" s="39"/>
      <c r="U23" s="40" t="s">
        <v>0</v>
      </c>
      <c r="V23" s="39"/>
      <c r="W23" s="38"/>
      <c r="X23" s="38" t="str">
        <f t="shared" si="5"/>
        <v/>
      </c>
      <c r="Y23" s="40" t="s">
        <v>0</v>
      </c>
      <c r="Z23" s="38" t="str">
        <f t="shared" si="6"/>
        <v/>
      </c>
      <c r="AA23" s="38"/>
      <c r="AB23" s="38" t="str">
        <f t="shared" si="7"/>
        <v/>
      </c>
      <c r="AC23" s="40" t="s">
        <v>0</v>
      </c>
      <c r="AD23" s="38" t="str">
        <f t="shared" si="8"/>
        <v/>
      </c>
      <c r="AE23" s="57"/>
      <c r="AF23" s="38" t="str">
        <f t="shared" si="9"/>
        <v/>
      </c>
      <c r="AG23" s="40" t="s">
        <v>0</v>
      </c>
      <c r="AH23" s="38" t="str">
        <f t="shared" si="10"/>
        <v/>
      </c>
      <c r="AJ23" s="4" t="str">
        <f t="shared" si="11"/>
        <v>Ort</v>
      </c>
    </row>
    <row r="24" spans="1:40" ht="15.75" hidden="1">
      <c r="A24" s="150" t="str">
        <f t="shared" si="3"/>
        <v/>
      </c>
      <c r="B24" s="151" t="str">
        <f t="shared" si="4"/>
        <v>Datum</v>
      </c>
      <c r="C24" s="41" t="s">
        <v>75</v>
      </c>
      <c r="D24" s="42"/>
      <c r="E24" s="3">
        <v>1</v>
      </c>
      <c r="F24" s="3" t="str">
        <f>IF(H24&lt;21,COUNTIF(H$6:H24,"&lt;21"),"")</f>
        <v/>
      </c>
      <c r="G24" s="7" t="str">
        <f t="shared" si="0"/>
        <v/>
      </c>
      <c r="H24" s="345">
        <v>21</v>
      </c>
      <c r="I24" s="30" t="s">
        <v>16</v>
      </c>
      <c r="J24" s="345">
        <v>21</v>
      </c>
      <c r="K24" s="7" t="str">
        <f t="shared" si="1"/>
        <v/>
      </c>
      <c r="L24" s="345">
        <v>21</v>
      </c>
      <c r="M24" s="7" t="str">
        <f t="shared" si="2"/>
        <v/>
      </c>
      <c r="N24" s="39"/>
      <c r="O24" s="40" t="s">
        <v>0</v>
      </c>
      <c r="P24" s="39"/>
      <c r="Q24" s="39"/>
      <c r="R24" s="40" t="s">
        <v>0</v>
      </c>
      <c r="S24" s="39"/>
      <c r="T24" s="39"/>
      <c r="U24" s="40" t="s">
        <v>0</v>
      </c>
      <c r="V24" s="39"/>
      <c r="W24" s="38"/>
      <c r="X24" s="38" t="str">
        <f t="shared" si="5"/>
        <v/>
      </c>
      <c r="Y24" s="40" t="s">
        <v>0</v>
      </c>
      <c r="Z24" s="38" t="str">
        <f t="shared" si="6"/>
        <v/>
      </c>
      <c r="AA24" s="38"/>
      <c r="AB24" s="38" t="str">
        <f t="shared" si="7"/>
        <v/>
      </c>
      <c r="AC24" s="40" t="s">
        <v>0</v>
      </c>
      <c r="AD24" s="38" t="str">
        <f t="shared" si="8"/>
        <v/>
      </c>
      <c r="AE24" s="57"/>
      <c r="AF24" s="38" t="str">
        <f t="shared" si="9"/>
        <v/>
      </c>
      <c r="AG24" s="40" t="s">
        <v>0</v>
      </c>
      <c r="AH24" s="38" t="str">
        <f t="shared" si="10"/>
        <v/>
      </c>
      <c r="AJ24" s="4" t="str">
        <f t="shared" si="11"/>
        <v>Ort</v>
      </c>
    </row>
    <row r="25" spans="1:40" ht="15.75" hidden="1">
      <c r="A25" s="150" t="str">
        <f t="shared" si="3"/>
        <v/>
      </c>
      <c r="B25" s="151" t="str">
        <f t="shared" ref="B25:B30" si="12">K$4</f>
        <v>Datum</v>
      </c>
      <c r="C25" s="41" t="s">
        <v>75</v>
      </c>
      <c r="D25" s="42"/>
      <c r="E25" s="3">
        <v>1</v>
      </c>
      <c r="F25" s="3" t="str">
        <f>IF(H25&lt;21,COUNTIF(H$6:H25,"&lt;21"),"")</f>
        <v/>
      </c>
      <c r="G25" s="7" t="str">
        <f t="shared" si="0"/>
        <v/>
      </c>
      <c r="H25" s="345">
        <v>21</v>
      </c>
      <c r="I25" s="30" t="s">
        <v>16</v>
      </c>
      <c r="J25" s="345">
        <v>21</v>
      </c>
      <c r="K25" s="7" t="str">
        <f t="shared" si="1"/>
        <v/>
      </c>
      <c r="L25" s="345">
        <v>21</v>
      </c>
      <c r="M25" s="7" t="str">
        <f t="shared" si="2"/>
        <v/>
      </c>
      <c r="N25" s="39"/>
      <c r="O25" s="40" t="s">
        <v>0</v>
      </c>
      <c r="P25" s="39"/>
      <c r="Q25" s="39"/>
      <c r="R25" s="40" t="s">
        <v>0</v>
      </c>
      <c r="S25" s="39"/>
      <c r="T25" s="39"/>
      <c r="U25" s="40" t="s">
        <v>0</v>
      </c>
      <c r="V25" s="39"/>
      <c r="W25" s="38"/>
      <c r="X25" s="38" t="str">
        <f t="shared" si="5"/>
        <v/>
      </c>
      <c r="Y25" s="40" t="s">
        <v>0</v>
      </c>
      <c r="Z25" s="38" t="str">
        <f t="shared" si="6"/>
        <v/>
      </c>
      <c r="AA25" s="38"/>
      <c r="AB25" s="38" t="str">
        <f t="shared" si="7"/>
        <v/>
      </c>
      <c r="AC25" s="40" t="s">
        <v>0</v>
      </c>
      <c r="AD25" s="38" t="str">
        <f t="shared" si="8"/>
        <v/>
      </c>
      <c r="AE25" s="57"/>
      <c r="AF25" s="38" t="str">
        <f t="shared" si="9"/>
        <v/>
      </c>
      <c r="AG25" s="40" t="s">
        <v>0</v>
      </c>
      <c r="AH25" s="38" t="str">
        <f t="shared" si="10"/>
        <v/>
      </c>
      <c r="AJ25" s="4" t="str">
        <f t="shared" si="11"/>
        <v>Ort</v>
      </c>
      <c r="AM25" s="4">
        <v>18</v>
      </c>
    </row>
    <row r="26" spans="1:40" ht="15.75" hidden="1">
      <c r="A26" s="150" t="str">
        <f t="shared" si="3"/>
        <v/>
      </c>
      <c r="B26" s="151" t="str">
        <f t="shared" si="12"/>
        <v>Datum</v>
      </c>
      <c r="C26" s="41" t="s">
        <v>75</v>
      </c>
      <c r="D26" s="42"/>
      <c r="E26" s="3">
        <v>1</v>
      </c>
      <c r="F26" s="3" t="str">
        <f>IF(H26&lt;21,COUNTIF(H$6:H26,"&lt;21"),"")</f>
        <v/>
      </c>
      <c r="G26" s="7" t="str">
        <f t="shared" si="0"/>
        <v/>
      </c>
      <c r="H26" s="345">
        <v>21</v>
      </c>
      <c r="I26" s="30" t="s">
        <v>16</v>
      </c>
      <c r="J26" s="345">
        <v>21</v>
      </c>
      <c r="K26" s="7" t="str">
        <f t="shared" si="1"/>
        <v/>
      </c>
      <c r="L26" s="345">
        <v>21</v>
      </c>
      <c r="M26" s="7" t="str">
        <f t="shared" si="2"/>
        <v/>
      </c>
      <c r="N26" s="39"/>
      <c r="O26" s="40" t="s">
        <v>0</v>
      </c>
      <c r="P26" s="39"/>
      <c r="Q26" s="39"/>
      <c r="R26" s="40" t="s">
        <v>0</v>
      </c>
      <c r="S26" s="39"/>
      <c r="T26" s="39"/>
      <c r="U26" s="40" t="s">
        <v>0</v>
      </c>
      <c r="V26" s="39"/>
      <c r="W26" s="38"/>
      <c r="X26" s="38" t="str">
        <f t="shared" si="5"/>
        <v/>
      </c>
      <c r="Y26" s="40" t="s">
        <v>0</v>
      </c>
      <c r="Z26" s="38" t="str">
        <f t="shared" si="6"/>
        <v/>
      </c>
      <c r="AA26" s="38"/>
      <c r="AB26" s="38" t="str">
        <f t="shared" si="7"/>
        <v/>
      </c>
      <c r="AC26" s="40" t="s">
        <v>0</v>
      </c>
      <c r="AD26" s="38" t="str">
        <f t="shared" si="8"/>
        <v/>
      </c>
      <c r="AE26" s="57"/>
      <c r="AF26" s="38" t="str">
        <f t="shared" si="9"/>
        <v/>
      </c>
      <c r="AG26" s="40" t="s">
        <v>0</v>
      </c>
      <c r="AH26" s="38" t="str">
        <f t="shared" si="10"/>
        <v/>
      </c>
      <c r="AJ26" s="4" t="str">
        <f t="shared" si="11"/>
        <v>Ort</v>
      </c>
      <c r="AM26" s="4">
        <v>19</v>
      </c>
    </row>
    <row r="27" spans="1:40" ht="15.75" hidden="1">
      <c r="A27" s="150" t="str">
        <f t="shared" si="3"/>
        <v/>
      </c>
      <c r="B27" s="151" t="str">
        <f t="shared" si="12"/>
        <v>Datum</v>
      </c>
      <c r="C27" s="41" t="s">
        <v>75</v>
      </c>
      <c r="D27" s="42"/>
      <c r="E27" s="3">
        <v>1</v>
      </c>
      <c r="F27" s="3" t="str">
        <f>IF(H27&lt;21,COUNTIF(H$6:H27,"&lt;21"),"")</f>
        <v/>
      </c>
      <c r="G27" s="7" t="str">
        <f t="shared" si="0"/>
        <v/>
      </c>
      <c r="H27" s="345">
        <v>21</v>
      </c>
      <c r="I27" s="30" t="s">
        <v>16</v>
      </c>
      <c r="J27" s="345">
        <v>21</v>
      </c>
      <c r="K27" s="7" t="str">
        <f t="shared" si="1"/>
        <v/>
      </c>
      <c r="L27" s="345">
        <v>21</v>
      </c>
      <c r="M27" s="7" t="str">
        <f t="shared" si="2"/>
        <v/>
      </c>
      <c r="N27" s="39"/>
      <c r="O27" s="40" t="s">
        <v>0</v>
      </c>
      <c r="P27" s="39"/>
      <c r="Q27" s="39"/>
      <c r="R27" s="40" t="s">
        <v>0</v>
      </c>
      <c r="S27" s="39"/>
      <c r="T27" s="39"/>
      <c r="U27" s="40" t="s">
        <v>0</v>
      </c>
      <c r="V27" s="39"/>
      <c r="W27" s="38"/>
      <c r="X27" s="38" t="str">
        <f t="shared" si="5"/>
        <v/>
      </c>
      <c r="Y27" s="40" t="s">
        <v>0</v>
      </c>
      <c r="Z27" s="38" t="str">
        <f t="shared" si="6"/>
        <v/>
      </c>
      <c r="AA27" s="38"/>
      <c r="AB27" s="38" t="str">
        <f t="shared" si="7"/>
        <v/>
      </c>
      <c r="AC27" s="40" t="s">
        <v>0</v>
      </c>
      <c r="AD27" s="38" t="str">
        <f t="shared" si="8"/>
        <v/>
      </c>
      <c r="AE27" s="57"/>
      <c r="AF27" s="38" t="str">
        <f t="shared" si="9"/>
        <v/>
      </c>
      <c r="AG27" s="40" t="s">
        <v>0</v>
      </c>
      <c r="AH27" s="38" t="str">
        <f t="shared" si="10"/>
        <v/>
      </c>
      <c r="AJ27" s="4" t="str">
        <f t="shared" si="11"/>
        <v>Ort</v>
      </c>
      <c r="AM27" s="4">
        <v>20</v>
      </c>
    </row>
    <row r="28" spans="1:40" ht="15.75" hidden="1">
      <c r="A28" s="150" t="str">
        <f t="shared" si="3"/>
        <v/>
      </c>
      <c r="B28" s="151" t="str">
        <f t="shared" si="12"/>
        <v>Datum</v>
      </c>
      <c r="C28" s="41" t="s">
        <v>75</v>
      </c>
      <c r="D28" s="42"/>
      <c r="E28" s="3">
        <v>1</v>
      </c>
      <c r="F28" s="3" t="str">
        <f>IF(H28&lt;21,COUNTIF(H$6:H28,"&lt;21"),"")</f>
        <v/>
      </c>
      <c r="G28" s="7" t="str">
        <f t="shared" si="0"/>
        <v/>
      </c>
      <c r="H28" s="345">
        <v>21</v>
      </c>
      <c r="I28" s="30" t="s">
        <v>16</v>
      </c>
      <c r="J28" s="345">
        <v>21</v>
      </c>
      <c r="K28" s="7" t="str">
        <f t="shared" si="1"/>
        <v/>
      </c>
      <c r="L28" s="345">
        <v>21</v>
      </c>
      <c r="M28" s="7" t="str">
        <f t="shared" si="2"/>
        <v/>
      </c>
      <c r="N28" s="39"/>
      <c r="O28" s="40" t="s">
        <v>0</v>
      </c>
      <c r="P28" s="39"/>
      <c r="Q28" s="39"/>
      <c r="R28" s="40" t="s">
        <v>0</v>
      </c>
      <c r="S28" s="39"/>
      <c r="T28" s="39"/>
      <c r="U28" s="40" t="s">
        <v>0</v>
      </c>
      <c r="V28" s="39"/>
      <c r="W28" s="38"/>
      <c r="X28" s="38" t="str">
        <f t="shared" si="5"/>
        <v/>
      </c>
      <c r="Y28" s="40" t="s">
        <v>0</v>
      </c>
      <c r="Z28" s="38" t="str">
        <f t="shared" si="6"/>
        <v/>
      </c>
      <c r="AA28" s="38"/>
      <c r="AB28" s="38" t="str">
        <f t="shared" si="7"/>
        <v/>
      </c>
      <c r="AC28" s="40" t="s">
        <v>0</v>
      </c>
      <c r="AD28" s="38" t="str">
        <f t="shared" si="8"/>
        <v/>
      </c>
      <c r="AE28" s="57"/>
      <c r="AF28" s="38" t="str">
        <f t="shared" si="9"/>
        <v/>
      </c>
      <c r="AG28" s="40" t="s">
        <v>0</v>
      </c>
      <c r="AH28" s="38" t="str">
        <f t="shared" si="10"/>
        <v/>
      </c>
      <c r="AJ28" s="4" t="str">
        <f t="shared" si="11"/>
        <v>Ort</v>
      </c>
      <c r="AM28" s="4">
        <v>21</v>
      </c>
      <c r="AN28" s="347"/>
    </row>
    <row r="29" spans="1:40" ht="15.75" hidden="1">
      <c r="A29" s="150" t="str">
        <f t="shared" si="3"/>
        <v/>
      </c>
      <c r="B29" s="151" t="str">
        <f t="shared" si="12"/>
        <v>Datum</v>
      </c>
      <c r="C29" s="41" t="s">
        <v>75</v>
      </c>
      <c r="D29" s="42"/>
      <c r="E29" s="3">
        <v>1</v>
      </c>
      <c r="F29" s="3" t="str">
        <f>IF(H29&lt;21,COUNTIF(H$6:H29,"&lt;21"),"")</f>
        <v/>
      </c>
      <c r="G29" s="7" t="str">
        <f t="shared" si="0"/>
        <v/>
      </c>
      <c r="H29" s="345">
        <v>21</v>
      </c>
      <c r="I29" s="30" t="s">
        <v>16</v>
      </c>
      <c r="J29" s="345">
        <v>21</v>
      </c>
      <c r="K29" s="7" t="str">
        <f t="shared" si="1"/>
        <v/>
      </c>
      <c r="L29" s="345">
        <v>21</v>
      </c>
      <c r="M29" s="7" t="str">
        <f t="shared" si="2"/>
        <v/>
      </c>
      <c r="N29" s="39"/>
      <c r="O29" s="40" t="s">
        <v>0</v>
      </c>
      <c r="P29" s="39"/>
      <c r="Q29" s="39"/>
      <c r="R29" s="40" t="s">
        <v>0</v>
      </c>
      <c r="S29" s="39"/>
      <c r="T29" s="39"/>
      <c r="U29" s="40" t="s">
        <v>0</v>
      </c>
      <c r="V29" s="39"/>
      <c r="W29" s="38"/>
      <c r="X29" s="38" t="str">
        <f t="shared" si="5"/>
        <v/>
      </c>
      <c r="Y29" s="40" t="s">
        <v>0</v>
      </c>
      <c r="Z29" s="38" t="str">
        <f t="shared" si="6"/>
        <v/>
      </c>
      <c r="AA29" s="38"/>
      <c r="AB29" s="38" t="str">
        <f t="shared" si="7"/>
        <v/>
      </c>
      <c r="AC29" s="40" t="s">
        <v>0</v>
      </c>
      <c r="AD29" s="38" t="str">
        <f t="shared" si="8"/>
        <v/>
      </c>
      <c r="AE29" s="57"/>
      <c r="AF29" s="38" t="str">
        <f t="shared" si="9"/>
        <v/>
      </c>
      <c r="AG29" s="40" t="s">
        <v>0</v>
      </c>
      <c r="AH29" s="38" t="str">
        <f t="shared" si="10"/>
        <v/>
      </c>
      <c r="AJ29" s="4" t="str">
        <f t="shared" si="11"/>
        <v>Ort</v>
      </c>
    </row>
    <row r="30" spans="1:40" ht="15.75" hidden="1">
      <c r="A30" s="150" t="str">
        <f t="shared" si="3"/>
        <v/>
      </c>
      <c r="B30" s="151" t="str">
        <f t="shared" si="12"/>
        <v>Datum</v>
      </c>
      <c r="C30" s="41" t="s">
        <v>75</v>
      </c>
      <c r="D30" s="42"/>
      <c r="E30" s="3">
        <v>1</v>
      </c>
      <c r="F30" s="3" t="str">
        <f>IF(H30&lt;21,COUNTIF(H$6:H30,"&lt;21"),"")</f>
        <v/>
      </c>
      <c r="G30" s="7" t="str">
        <f t="shared" si="0"/>
        <v/>
      </c>
      <c r="H30" s="345">
        <v>21</v>
      </c>
      <c r="I30" s="30" t="s">
        <v>16</v>
      </c>
      <c r="J30" s="345">
        <v>21</v>
      </c>
      <c r="K30" s="7" t="str">
        <f t="shared" si="1"/>
        <v/>
      </c>
      <c r="L30" s="345">
        <v>21</v>
      </c>
      <c r="M30" s="7" t="str">
        <f t="shared" si="2"/>
        <v/>
      </c>
      <c r="N30" s="39"/>
      <c r="O30" s="40" t="s">
        <v>0</v>
      </c>
      <c r="P30" s="39"/>
      <c r="Q30" s="39"/>
      <c r="R30" s="40" t="s">
        <v>0</v>
      </c>
      <c r="S30" s="39"/>
      <c r="T30" s="39"/>
      <c r="U30" s="40" t="s">
        <v>0</v>
      </c>
      <c r="V30" s="39"/>
      <c r="W30" s="38"/>
      <c r="X30" s="38" t="str">
        <f t="shared" si="5"/>
        <v/>
      </c>
      <c r="Y30" s="40" t="s">
        <v>0</v>
      </c>
      <c r="Z30" s="38" t="str">
        <f t="shared" si="6"/>
        <v/>
      </c>
      <c r="AA30" s="38"/>
      <c r="AB30" s="38" t="str">
        <f t="shared" si="7"/>
        <v/>
      </c>
      <c r="AC30" s="40" t="s">
        <v>0</v>
      </c>
      <c r="AD30" s="38" t="str">
        <f t="shared" si="8"/>
        <v/>
      </c>
      <c r="AE30" s="57"/>
      <c r="AF30" s="38" t="str">
        <f t="shared" si="9"/>
        <v/>
      </c>
      <c r="AG30" s="40" t="s">
        <v>0</v>
      </c>
      <c r="AH30" s="38" t="str">
        <f t="shared" si="10"/>
        <v/>
      </c>
      <c r="AJ30" s="4" t="str">
        <f t="shared" si="11"/>
        <v>Ort</v>
      </c>
    </row>
    <row r="31" spans="1:40">
      <c r="W31" s="35"/>
      <c r="X31" s="35"/>
      <c r="Y31" s="35"/>
      <c r="Z31" s="35"/>
      <c r="AE31" s="58"/>
    </row>
    <row r="32" spans="1:40">
      <c r="A32" s="151"/>
      <c r="B32" s="151"/>
      <c r="W32" s="35"/>
      <c r="X32" s="35"/>
      <c r="Y32" s="35"/>
      <c r="Z32" s="35"/>
      <c r="AE32" s="58"/>
    </row>
    <row r="33" spans="1:44" s="18" customFormat="1" ht="20.25">
      <c r="C33" s="14"/>
      <c r="D33" s="15"/>
      <c r="E33" s="15"/>
      <c r="F33" s="16" t="s">
        <v>133</v>
      </c>
      <c r="I33" s="16"/>
      <c r="J33" s="16"/>
      <c r="K33" s="354" t="s">
        <v>84</v>
      </c>
      <c r="L33" s="354"/>
      <c r="M33" s="355" t="s">
        <v>146</v>
      </c>
      <c r="N33" s="14"/>
      <c r="O33" s="14"/>
      <c r="P33" s="356" t="s">
        <v>147</v>
      </c>
      <c r="Q33" s="14"/>
      <c r="R33" s="14"/>
      <c r="S33" s="14"/>
      <c r="T33" s="14"/>
      <c r="U33" s="14"/>
      <c r="V33" s="14"/>
      <c r="W33" s="36"/>
      <c r="X33" s="36"/>
      <c r="Y33" s="36"/>
      <c r="Z33" s="36"/>
      <c r="AA33" s="36"/>
      <c r="AB33" s="36"/>
      <c r="AC33" s="36"/>
      <c r="AD33" s="36"/>
      <c r="AE33" s="55"/>
      <c r="AF33" s="36"/>
      <c r="AG33" s="36"/>
      <c r="AH33" s="36"/>
      <c r="AM33" s="4"/>
      <c r="AN33" s="4"/>
    </row>
    <row r="34" spans="1:44" s="31" customFormat="1" ht="21" thickBot="1">
      <c r="A34" s="149" t="s">
        <v>13</v>
      </c>
      <c r="B34" s="21" t="s">
        <v>84</v>
      </c>
      <c r="C34" s="357" t="s">
        <v>8</v>
      </c>
      <c r="D34" s="358" t="s">
        <v>4</v>
      </c>
      <c r="E34" s="358" t="s">
        <v>3</v>
      </c>
      <c r="F34" s="358" t="s">
        <v>13</v>
      </c>
      <c r="G34" s="28" t="s">
        <v>7</v>
      </c>
      <c r="H34" s="345" t="s">
        <v>24</v>
      </c>
      <c r="I34" s="29"/>
      <c r="J34" s="346" t="s">
        <v>25</v>
      </c>
      <c r="K34" s="28" t="s">
        <v>6</v>
      </c>
      <c r="L34" s="345" t="s">
        <v>76</v>
      </c>
      <c r="M34" s="29" t="s">
        <v>5</v>
      </c>
      <c r="N34" s="484" t="s">
        <v>29</v>
      </c>
      <c r="O34" s="484"/>
      <c r="P34" s="484"/>
      <c r="Q34" s="484" t="s">
        <v>30</v>
      </c>
      <c r="R34" s="484"/>
      <c r="S34" s="484"/>
      <c r="T34" s="484" t="s">
        <v>31</v>
      </c>
      <c r="U34" s="484"/>
      <c r="V34" s="484"/>
      <c r="W34" s="37"/>
      <c r="X34" s="483" t="s">
        <v>2</v>
      </c>
      <c r="Y34" s="483"/>
      <c r="Z34" s="483"/>
      <c r="AA34" s="37"/>
      <c r="AB34" s="483" t="s">
        <v>32</v>
      </c>
      <c r="AC34" s="483"/>
      <c r="AD34" s="483"/>
      <c r="AE34" s="359"/>
      <c r="AF34" s="483" t="s">
        <v>28</v>
      </c>
      <c r="AG34" s="483"/>
      <c r="AH34" s="483"/>
      <c r="AM34" s="18"/>
      <c r="AN34" s="18"/>
    </row>
    <row r="35" spans="1:44" ht="15.75">
      <c r="A35" s="3">
        <f>F35</f>
        <v>10</v>
      </c>
      <c r="B35" s="462" t="str">
        <f>K$33</f>
        <v>Datum</v>
      </c>
      <c r="C35" s="459">
        <v>0.39583333333333331</v>
      </c>
      <c r="D35" s="427">
        <v>1</v>
      </c>
      <c r="E35" s="428">
        <v>1</v>
      </c>
      <c r="F35" s="428">
        <f>IF(H35&lt;21,COUNTIF(H$6:H35,"&lt;21"),"")</f>
        <v>10</v>
      </c>
      <c r="G35" s="429" t="str">
        <f t="shared" ref="G35:G43" si="13">IF(H35=21,"",INDEX($AM$7:$AN$22,H35,2))</f>
        <v>Team 2</v>
      </c>
      <c r="H35" s="463">
        <v>2</v>
      </c>
      <c r="I35" s="431" t="s">
        <v>16</v>
      </c>
      <c r="J35" s="463">
        <v>5</v>
      </c>
      <c r="K35" s="429" t="str">
        <f t="shared" ref="K35:K43" si="14">IF(J35=21,"",INDEX($AM$7:$AN$22,J35,2))</f>
        <v>Team 5</v>
      </c>
      <c r="L35" s="463">
        <v>8</v>
      </c>
      <c r="M35" s="429" t="str">
        <f t="shared" ref="M35:M43" si="15">IF(L35=21,"",INDEX($AM$7:$AN$22,L35,2))</f>
        <v>Team 8</v>
      </c>
      <c r="N35" s="432"/>
      <c r="O35" s="433" t="s">
        <v>0</v>
      </c>
      <c r="P35" s="432"/>
      <c r="Q35" s="432"/>
      <c r="R35" s="433" t="s">
        <v>0</v>
      </c>
      <c r="S35" s="432"/>
      <c r="T35" s="432"/>
      <c r="U35" s="433" t="s">
        <v>0</v>
      </c>
      <c r="V35" s="432"/>
      <c r="W35" s="434"/>
      <c r="X35" s="434" t="str">
        <f t="shared" ref="X35:X43" si="16">IF(N35+P35&gt;0,IF(AB35&gt;0,IF(AB35&gt;AD35,2,IF(AB35&lt;AD35,0,1)),0),"")</f>
        <v/>
      </c>
      <c r="Y35" s="433" t="s">
        <v>0</v>
      </c>
      <c r="Z35" s="434" t="str">
        <f t="shared" ref="Z35:Z43" si="17">IF(N35+P35&gt;0,IF(AD35&gt;0,IF(AD35&gt;AB35,2,IF(AD35&lt;AB35,0,1)),0),"")</f>
        <v/>
      </c>
      <c r="AA35" s="434"/>
      <c r="AB35" s="434" t="str">
        <f t="shared" ref="AB35:AB43" si="18">IF(N35+P35&gt;0,IF(N35&gt;P35,1,0)+IF(Q35&gt;S35,1,0)+IF(T35&gt;V35,1,0),"")</f>
        <v/>
      </c>
      <c r="AC35" s="433" t="s">
        <v>0</v>
      </c>
      <c r="AD35" s="434" t="str">
        <f t="shared" ref="AD35:AD43" si="19">IF(N35+P35&gt;0,IF(N35&lt;P35,1,0)+IF(Q35&lt;S35,1,0)+IF(T35&lt;V35,1,0),"")</f>
        <v/>
      </c>
      <c r="AE35" s="435"/>
      <c r="AF35" s="434" t="str">
        <f t="shared" ref="AF35:AF43" si="20">IF(N35+P35&gt;0,N35+Q35+T35,"")</f>
        <v/>
      </c>
      <c r="AG35" s="433" t="s">
        <v>0</v>
      </c>
      <c r="AH35" s="436" t="str">
        <f t="shared" ref="AH35:AH43" si="21">IF(N35+P35&gt;0,P35+S35+V35,"")</f>
        <v/>
      </c>
      <c r="AJ35" s="4" t="str">
        <f>M$33</f>
        <v>Ort</v>
      </c>
      <c r="AM35" s="31"/>
      <c r="AN35" s="31"/>
      <c r="AQ35" s="4" t="s">
        <v>145</v>
      </c>
      <c r="AR35" s="4" t="str">
        <f>Platzierung!T23</f>
        <v>Team 3</v>
      </c>
    </row>
    <row r="36" spans="1:44" ht="15.75">
      <c r="A36" s="3">
        <f t="shared" ref="A36:A43" si="22">F36</f>
        <v>11</v>
      </c>
      <c r="B36" s="462" t="str">
        <f t="shared" ref="B36:B43" si="23">K$33</f>
        <v>Datum</v>
      </c>
      <c r="C36" s="437" t="s">
        <v>75</v>
      </c>
      <c r="D36" s="438">
        <v>2</v>
      </c>
      <c r="E36" s="439">
        <v>1</v>
      </c>
      <c r="F36" s="439">
        <f>IF(H36&lt;21,COUNTIF(H$6:H36,"&lt;21"),"")</f>
        <v>11</v>
      </c>
      <c r="G36" s="440" t="str">
        <f t="shared" si="13"/>
        <v>Team 5</v>
      </c>
      <c r="H36" s="460">
        <v>5</v>
      </c>
      <c r="I36" s="442" t="s">
        <v>16</v>
      </c>
      <c r="J36" s="460">
        <v>8</v>
      </c>
      <c r="K36" s="440" t="str">
        <f t="shared" si="14"/>
        <v>Team 8</v>
      </c>
      <c r="L36" s="460">
        <v>2</v>
      </c>
      <c r="M36" s="440" t="str">
        <f t="shared" si="15"/>
        <v>Team 2</v>
      </c>
      <c r="N36" s="443"/>
      <c r="O36" s="444" t="s">
        <v>0</v>
      </c>
      <c r="P36" s="443"/>
      <c r="Q36" s="443"/>
      <c r="R36" s="444" t="s">
        <v>0</v>
      </c>
      <c r="S36" s="443"/>
      <c r="T36" s="443"/>
      <c r="U36" s="444" t="s">
        <v>0</v>
      </c>
      <c r="V36" s="443"/>
      <c r="W36" s="445"/>
      <c r="X36" s="445" t="str">
        <f t="shared" si="16"/>
        <v/>
      </c>
      <c r="Y36" s="444" t="s">
        <v>0</v>
      </c>
      <c r="Z36" s="445" t="str">
        <f t="shared" si="17"/>
        <v/>
      </c>
      <c r="AA36" s="445"/>
      <c r="AB36" s="445" t="str">
        <f t="shared" si="18"/>
        <v/>
      </c>
      <c r="AC36" s="444" t="s">
        <v>0</v>
      </c>
      <c r="AD36" s="445" t="str">
        <f t="shared" si="19"/>
        <v/>
      </c>
      <c r="AE36" s="446"/>
      <c r="AF36" s="445" t="str">
        <f t="shared" si="20"/>
        <v/>
      </c>
      <c r="AG36" s="444" t="s">
        <v>0</v>
      </c>
      <c r="AH36" s="447" t="str">
        <f t="shared" si="21"/>
        <v/>
      </c>
      <c r="AJ36" s="4" t="str">
        <f t="shared" ref="AJ36:AJ43" si="24">M$33</f>
        <v>Ort</v>
      </c>
      <c r="AQ36" s="4" t="s">
        <v>145</v>
      </c>
      <c r="AR36" s="4" t="str">
        <f>Platzierung!T24</f>
        <v>Team 4</v>
      </c>
    </row>
    <row r="37" spans="1:44" ht="16.5" thickBot="1">
      <c r="A37" s="3">
        <f t="shared" si="22"/>
        <v>12</v>
      </c>
      <c r="B37" s="462" t="str">
        <f t="shared" si="23"/>
        <v>Datum</v>
      </c>
      <c r="C37" s="448" t="s">
        <v>75</v>
      </c>
      <c r="D37" s="449">
        <v>3</v>
      </c>
      <c r="E37" s="450">
        <v>1</v>
      </c>
      <c r="F37" s="450">
        <f>IF(H37&lt;21,COUNTIF(H$6:H37,"&lt;21"),"")</f>
        <v>12</v>
      </c>
      <c r="G37" s="451" t="str">
        <f t="shared" si="13"/>
        <v>Team 8</v>
      </c>
      <c r="H37" s="452">
        <v>8</v>
      </c>
      <c r="I37" s="453" t="s">
        <v>16</v>
      </c>
      <c r="J37" s="452">
        <v>2</v>
      </c>
      <c r="K37" s="451" t="str">
        <f t="shared" si="14"/>
        <v>Team 2</v>
      </c>
      <c r="L37" s="452">
        <v>5</v>
      </c>
      <c r="M37" s="451" t="str">
        <f t="shared" si="15"/>
        <v>Team 5</v>
      </c>
      <c r="N37" s="454"/>
      <c r="O37" s="455" t="s">
        <v>0</v>
      </c>
      <c r="P37" s="454"/>
      <c r="Q37" s="454"/>
      <c r="R37" s="455" t="s">
        <v>0</v>
      </c>
      <c r="S37" s="454"/>
      <c r="T37" s="454"/>
      <c r="U37" s="455" t="s">
        <v>0</v>
      </c>
      <c r="V37" s="454"/>
      <c r="W37" s="456"/>
      <c r="X37" s="456" t="str">
        <f t="shared" si="16"/>
        <v/>
      </c>
      <c r="Y37" s="455" t="s">
        <v>0</v>
      </c>
      <c r="Z37" s="456" t="str">
        <f t="shared" si="17"/>
        <v/>
      </c>
      <c r="AA37" s="456"/>
      <c r="AB37" s="456" t="str">
        <f t="shared" si="18"/>
        <v/>
      </c>
      <c r="AC37" s="455" t="s">
        <v>0</v>
      </c>
      <c r="AD37" s="456" t="str">
        <f t="shared" si="19"/>
        <v/>
      </c>
      <c r="AE37" s="457"/>
      <c r="AF37" s="456" t="str">
        <f t="shared" si="20"/>
        <v/>
      </c>
      <c r="AG37" s="455" t="s">
        <v>0</v>
      </c>
      <c r="AH37" s="458" t="str">
        <f t="shared" si="21"/>
        <v/>
      </c>
      <c r="AJ37" s="4" t="str">
        <f t="shared" si="24"/>
        <v>Ort</v>
      </c>
    </row>
    <row r="38" spans="1:44" ht="15.75">
      <c r="A38" s="3">
        <f t="shared" si="22"/>
        <v>13</v>
      </c>
      <c r="B38" s="462" t="str">
        <f t="shared" si="23"/>
        <v>Datum</v>
      </c>
      <c r="C38" s="393">
        <v>0.5</v>
      </c>
      <c r="D38" s="394">
        <v>4</v>
      </c>
      <c r="E38" s="395">
        <v>1</v>
      </c>
      <c r="F38" s="395">
        <f>IF(H38&lt;21,COUNTIF(H$6:H38,"&lt;21"),"")</f>
        <v>13</v>
      </c>
      <c r="G38" s="396" t="str">
        <f t="shared" si="13"/>
        <v>Team 3</v>
      </c>
      <c r="H38" s="465">
        <v>3</v>
      </c>
      <c r="I38" s="398" t="s">
        <v>16</v>
      </c>
      <c r="J38" s="465">
        <v>6</v>
      </c>
      <c r="K38" s="396" t="str">
        <f t="shared" si="14"/>
        <v>Team 6</v>
      </c>
      <c r="L38" s="465">
        <v>9</v>
      </c>
      <c r="M38" s="396" t="e">
        <f t="shared" si="15"/>
        <v>#REF!</v>
      </c>
      <c r="N38" s="399"/>
      <c r="O38" s="400" t="s">
        <v>0</v>
      </c>
      <c r="P38" s="399"/>
      <c r="Q38" s="399"/>
      <c r="R38" s="400" t="s">
        <v>0</v>
      </c>
      <c r="S38" s="399"/>
      <c r="T38" s="399"/>
      <c r="U38" s="400" t="s">
        <v>0</v>
      </c>
      <c r="V38" s="399"/>
      <c r="W38" s="401"/>
      <c r="X38" s="401" t="str">
        <f t="shared" si="16"/>
        <v/>
      </c>
      <c r="Y38" s="400" t="s">
        <v>0</v>
      </c>
      <c r="Z38" s="401" t="str">
        <f t="shared" si="17"/>
        <v/>
      </c>
      <c r="AA38" s="401"/>
      <c r="AB38" s="401" t="str">
        <f t="shared" si="18"/>
        <v/>
      </c>
      <c r="AC38" s="400" t="s">
        <v>0</v>
      </c>
      <c r="AD38" s="401" t="str">
        <f t="shared" si="19"/>
        <v/>
      </c>
      <c r="AE38" s="402"/>
      <c r="AF38" s="401" t="str">
        <f t="shared" si="20"/>
        <v/>
      </c>
      <c r="AG38" s="400" t="s">
        <v>0</v>
      </c>
      <c r="AH38" s="403" t="str">
        <f t="shared" si="21"/>
        <v/>
      </c>
      <c r="AJ38" s="4" t="str">
        <f t="shared" si="24"/>
        <v>Ort</v>
      </c>
    </row>
    <row r="39" spans="1:44" ht="15.75">
      <c r="A39" s="3">
        <f t="shared" si="22"/>
        <v>14</v>
      </c>
      <c r="B39" s="462" t="str">
        <f t="shared" si="23"/>
        <v>Datum</v>
      </c>
      <c r="C39" s="404" t="s">
        <v>75</v>
      </c>
      <c r="D39" s="405">
        <v>5</v>
      </c>
      <c r="E39" s="406">
        <v>1</v>
      </c>
      <c r="F39" s="406">
        <f>IF(H39&lt;21,COUNTIF(H$6:H39,"&lt;21"),"")</f>
        <v>14</v>
      </c>
      <c r="G39" s="407" t="str">
        <f t="shared" si="13"/>
        <v>Team 6</v>
      </c>
      <c r="H39" s="466">
        <v>6</v>
      </c>
      <c r="I39" s="409" t="s">
        <v>16</v>
      </c>
      <c r="J39" s="466">
        <v>9</v>
      </c>
      <c r="K39" s="407" t="e">
        <f t="shared" si="14"/>
        <v>#REF!</v>
      </c>
      <c r="L39" s="466">
        <v>3</v>
      </c>
      <c r="M39" s="407" t="str">
        <f t="shared" si="15"/>
        <v>Team 3</v>
      </c>
      <c r="N39" s="410"/>
      <c r="O39" s="411" t="s">
        <v>0</v>
      </c>
      <c r="P39" s="410"/>
      <c r="Q39" s="410"/>
      <c r="R39" s="411" t="s">
        <v>0</v>
      </c>
      <c r="S39" s="410"/>
      <c r="T39" s="410"/>
      <c r="U39" s="411" t="s">
        <v>0</v>
      </c>
      <c r="V39" s="410"/>
      <c r="W39" s="412"/>
      <c r="X39" s="412" t="str">
        <f t="shared" si="16"/>
        <v/>
      </c>
      <c r="Y39" s="411" t="s">
        <v>0</v>
      </c>
      <c r="Z39" s="412" t="str">
        <f t="shared" si="17"/>
        <v/>
      </c>
      <c r="AA39" s="412"/>
      <c r="AB39" s="412" t="str">
        <f t="shared" si="18"/>
        <v/>
      </c>
      <c r="AC39" s="411" t="s">
        <v>0</v>
      </c>
      <c r="AD39" s="412" t="str">
        <f t="shared" si="19"/>
        <v/>
      </c>
      <c r="AE39" s="413"/>
      <c r="AF39" s="412" t="str">
        <f t="shared" si="20"/>
        <v/>
      </c>
      <c r="AG39" s="411" t="s">
        <v>0</v>
      </c>
      <c r="AH39" s="414" t="str">
        <f t="shared" si="21"/>
        <v/>
      </c>
      <c r="AJ39" s="4" t="str">
        <f t="shared" si="24"/>
        <v>Ort</v>
      </c>
    </row>
    <row r="40" spans="1:44" ht="16.5" thickBot="1">
      <c r="A40" s="3">
        <f t="shared" si="22"/>
        <v>15</v>
      </c>
      <c r="B40" s="462" t="str">
        <f t="shared" si="23"/>
        <v>Datum</v>
      </c>
      <c r="C40" s="415" t="s">
        <v>75</v>
      </c>
      <c r="D40" s="416">
        <v>6</v>
      </c>
      <c r="E40" s="417">
        <v>1</v>
      </c>
      <c r="F40" s="417">
        <f>IF(H40&lt;21,COUNTIF(H$6:H40,"&lt;21"),"")</f>
        <v>15</v>
      </c>
      <c r="G40" s="418" t="e">
        <f t="shared" si="13"/>
        <v>#REF!</v>
      </c>
      <c r="H40" s="419">
        <v>9</v>
      </c>
      <c r="I40" s="420" t="s">
        <v>16</v>
      </c>
      <c r="J40" s="419">
        <v>3</v>
      </c>
      <c r="K40" s="418" t="str">
        <f t="shared" si="14"/>
        <v>Team 3</v>
      </c>
      <c r="L40" s="419">
        <v>6</v>
      </c>
      <c r="M40" s="418" t="str">
        <f t="shared" si="15"/>
        <v>Team 6</v>
      </c>
      <c r="N40" s="421"/>
      <c r="O40" s="422" t="s">
        <v>0</v>
      </c>
      <c r="P40" s="421"/>
      <c r="Q40" s="421"/>
      <c r="R40" s="422" t="s">
        <v>0</v>
      </c>
      <c r="S40" s="421"/>
      <c r="T40" s="421"/>
      <c r="U40" s="422" t="s">
        <v>0</v>
      </c>
      <c r="V40" s="421"/>
      <c r="W40" s="423"/>
      <c r="X40" s="423" t="str">
        <f t="shared" si="16"/>
        <v/>
      </c>
      <c r="Y40" s="422" t="s">
        <v>0</v>
      </c>
      <c r="Z40" s="423" t="str">
        <f t="shared" si="17"/>
        <v/>
      </c>
      <c r="AA40" s="423"/>
      <c r="AB40" s="423" t="str">
        <f t="shared" si="18"/>
        <v/>
      </c>
      <c r="AC40" s="422" t="s">
        <v>0</v>
      </c>
      <c r="AD40" s="423" t="str">
        <f t="shared" si="19"/>
        <v/>
      </c>
      <c r="AE40" s="424"/>
      <c r="AF40" s="423" t="str">
        <f t="shared" si="20"/>
        <v/>
      </c>
      <c r="AG40" s="422" t="s">
        <v>0</v>
      </c>
      <c r="AH40" s="425" t="str">
        <f t="shared" si="21"/>
        <v/>
      </c>
      <c r="AJ40" s="4" t="str">
        <f t="shared" si="24"/>
        <v>Ort</v>
      </c>
    </row>
    <row r="41" spans="1:44" ht="15.75">
      <c r="A41" s="3">
        <f t="shared" si="22"/>
        <v>16</v>
      </c>
      <c r="B41" s="462" t="str">
        <f t="shared" si="23"/>
        <v>Datum</v>
      </c>
      <c r="C41" s="360">
        <v>0.60416666666666663</v>
      </c>
      <c r="D41" s="361">
        <v>7</v>
      </c>
      <c r="E41" s="362">
        <v>1</v>
      </c>
      <c r="F41" s="362">
        <f>IF(H41&lt;21,COUNTIF(H$6:H41,"&lt;21"),"")</f>
        <v>16</v>
      </c>
      <c r="G41" s="363" t="str">
        <f t="shared" si="13"/>
        <v>Team 1</v>
      </c>
      <c r="H41" s="464">
        <v>1</v>
      </c>
      <c r="I41" s="365" t="s">
        <v>16</v>
      </c>
      <c r="J41" s="464">
        <v>4</v>
      </c>
      <c r="K41" s="363" t="str">
        <f t="shared" si="14"/>
        <v>Team 4</v>
      </c>
      <c r="L41" s="464">
        <v>7</v>
      </c>
      <c r="M41" s="363" t="str">
        <f t="shared" si="15"/>
        <v>Team 7</v>
      </c>
      <c r="N41" s="366"/>
      <c r="O41" s="367" t="s">
        <v>0</v>
      </c>
      <c r="P41" s="366"/>
      <c r="Q41" s="366"/>
      <c r="R41" s="367" t="s">
        <v>0</v>
      </c>
      <c r="S41" s="366"/>
      <c r="T41" s="366"/>
      <c r="U41" s="367" t="s">
        <v>0</v>
      </c>
      <c r="V41" s="366"/>
      <c r="W41" s="368"/>
      <c r="X41" s="368" t="str">
        <f t="shared" si="16"/>
        <v/>
      </c>
      <c r="Y41" s="367" t="s">
        <v>0</v>
      </c>
      <c r="Z41" s="368" t="str">
        <f t="shared" si="17"/>
        <v/>
      </c>
      <c r="AA41" s="368"/>
      <c r="AB41" s="368" t="str">
        <f t="shared" si="18"/>
        <v/>
      </c>
      <c r="AC41" s="367" t="s">
        <v>0</v>
      </c>
      <c r="AD41" s="368" t="str">
        <f t="shared" si="19"/>
        <v/>
      </c>
      <c r="AE41" s="369"/>
      <c r="AF41" s="368" t="str">
        <f t="shared" si="20"/>
        <v/>
      </c>
      <c r="AG41" s="367" t="s">
        <v>0</v>
      </c>
      <c r="AH41" s="370" t="str">
        <f t="shared" si="21"/>
        <v/>
      </c>
      <c r="AJ41" s="4" t="str">
        <f t="shared" si="24"/>
        <v>Ort</v>
      </c>
    </row>
    <row r="42" spans="1:44" ht="15.75">
      <c r="A42" s="3">
        <f t="shared" si="22"/>
        <v>17</v>
      </c>
      <c r="B42" s="462" t="str">
        <f t="shared" si="23"/>
        <v>Datum</v>
      </c>
      <c r="C42" s="371" t="s">
        <v>75</v>
      </c>
      <c r="D42" s="372">
        <v>8</v>
      </c>
      <c r="E42" s="373">
        <v>1</v>
      </c>
      <c r="F42" s="373">
        <f>IF(H42&lt;21,COUNTIF(H$6:H42,"&lt;21"),"")</f>
        <v>17</v>
      </c>
      <c r="G42" s="374" t="str">
        <f t="shared" si="13"/>
        <v>Team 4</v>
      </c>
      <c r="H42" s="461">
        <v>4</v>
      </c>
      <c r="I42" s="376" t="s">
        <v>16</v>
      </c>
      <c r="J42" s="461">
        <v>7</v>
      </c>
      <c r="K42" s="374" t="str">
        <f t="shared" si="14"/>
        <v>Team 7</v>
      </c>
      <c r="L42" s="461">
        <v>1</v>
      </c>
      <c r="M42" s="374" t="str">
        <f t="shared" si="15"/>
        <v>Team 1</v>
      </c>
      <c r="N42" s="377"/>
      <c r="O42" s="378" t="s">
        <v>0</v>
      </c>
      <c r="P42" s="377"/>
      <c r="Q42" s="377"/>
      <c r="R42" s="378" t="s">
        <v>0</v>
      </c>
      <c r="S42" s="377"/>
      <c r="T42" s="377"/>
      <c r="U42" s="378" t="s">
        <v>0</v>
      </c>
      <c r="V42" s="377"/>
      <c r="W42" s="379"/>
      <c r="X42" s="379" t="str">
        <f t="shared" si="16"/>
        <v/>
      </c>
      <c r="Y42" s="378" t="s">
        <v>0</v>
      </c>
      <c r="Z42" s="379" t="str">
        <f t="shared" si="17"/>
        <v/>
      </c>
      <c r="AA42" s="379"/>
      <c r="AB42" s="379" t="str">
        <f t="shared" si="18"/>
        <v/>
      </c>
      <c r="AC42" s="378" t="s">
        <v>0</v>
      </c>
      <c r="AD42" s="379" t="str">
        <f t="shared" si="19"/>
        <v/>
      </c>
      <c r="AE42" s="380"/>
      <c r="AF42" s="379" t="str">
        <f t="shared" si="20"/>
        <v/>
      </c>
      <c r="AG42" s="378" t="s">
        <v>0</v>
      </c>
      <c r="AH42" s="381" t="str">
        <f t="shared" si="21"/>
        <v/>
      </c>
      <c r="AJ42" s="4" t="str">
        <f t="shared" si="24"/>
        <v>Ort</v>
      </c>
    </row>
    <row r="43" spans="1:44" ht="16.5" thickBot="1">
      <c r="A43" s="3">
        <f t="shared" si="22"/>
        <v>18</v>
      </c>
      <c r="B43" s="462" t="str">
        <f t="shared" si="23"/>
        <v>Datum</v>
      </c>
      <c r="C43" s="382" t="s">
        <v>75</v>
      </c>
      <c r="D43" s="383">
        <v>9</v>
      </c>
      <c r="E43" s="384">
        <v>1</v>
      </c>
      <c r="F43" s="384">
        <f>IF(H43&lt;21,COUNTIF(H$6:H43,"&lt;21"),"")</f>
        <v>18</v>
      </c>
      <c r="G43" s="385" t="str">
        <f t="shared" si="13"/>
        <v>Team 7</v>
      </c>
      <c r="H43" s="386">
        <v>7</v>
      </c>
      <c r="I43" s="387" t="s">
        <v>16</v>
      </c>
      <c r="J43" s="386">
        <v>1</v>
      </c>
      <c r="K43" s="385" t="str">
        <f t="shared" si="14"/>
        <v>Team 1</v>
      </c>
      <c r="L43" s="386">
        <v>4</v>
      </c>
      <c r="M43" s="385" t="str">
        <f t="shared" si="15"/>
        <v>Team 4</v>
      </c>
      <c r="N43" s="388"/>
      <c r="O43" s="389" t="s">
        <v>0</v>
      </c>
      <c r="P43" s="388"/>
      <c r="Q43" s="388"/>
      <c r="R43" s="389" t="s">
        <v>0</v>
      </c>
      <c r="S43" s="388"/>
      <c r="T43" s="388"/>
      <c r="U43" s="389" t="s">
        <v>0</v>
      </c>
      <c r="V43" s="388"/>
      <c r="W43" s="390"/>
      <c r="X43" s="390" t="str">
        <f t="shared" si="16"/>
        <v/>
      </c>
      <c r="Y43" s="389" t="s">
        <v>0</v>
      </c>
      <c r="Z43" s="390" t="str">
        <f t="shared" si="17"/>
        <v/>
      </c>
      <c r="AA43" s="390"/>
      <c r="AB43" s="390" t="str">
        <f t="shared" si="18"/>
        <v/>
      </c>
      <c r="AC43" s="389" t="s">
        <v>0</v>
      </c>
      <c r="AD43" s="390" t="str">
        <f t="shared" si="19"/>
        <v/>
      </c>
      <c r="AE43" s="391"/>
      <c r="AF43" s="390" t="str">
        <f t="shared" si="20"/>
        <v/>
      </c>
      <c r="AG43" s="389" t="s">
        <v>0</v>
      </c>
      <c r="AH43" s="392" t="str">
        <f t="shared" si="21"/>
        <v/>
      </c>
      <c r="AJ43" s="4" t="str">
        <f t="shared" si="24"/>
        <v>Ort</v>
      </c>
    </row>
    <row r="44" spans="1:44">
      <c r="A44" s="353"/>
      <c r="B44" s="151"/>
      <c r="W44" s="35"/>
      <c r="X44" s="35"/>
      <c r="Y44" s="35"/>
      <c r="Z44" s="35"/>
      <c r="AE44" s="58"/>
    </row>
    <row r="45" spans="1:44">
      <c r="A45" s="353"/>
      <c r="B45" s="151"/>
      <c r="W45" s="35"/>
      <c r="X45" s="35"/>
      <c r="Y45" s="35"/>
      <c r="Z45" s="35"/>
      <c r="AE45" s="58"/>
    </row>
    <row r="46" spans="1:44" s="18" customFormat="1" ht="20.25">
      <c r="C46" s="14"/>
      <c r="D46" s="15"/>
      <c r="E46" s="15"/>
      <c r="F46" s="16" t="s">
        <v>80</v>
      </c>
      <c r="I46" s="16"/>
      <c r="J46" s="16"/>
      <c r="K46" s="354" t="s">
        <v>84</v>
      </c>
      <c r="L46" s="354"/>
      <c r="M46" s="355" t="s">
        <v>146</v>
      </c>
      <c r="N46" s="14"/>
      <c r="O46" s="14"/>
      <c r="P46" s="356" t="s">
        <v>147</v>
      </c>
      <c r="Q46" s="14"/>
      <c r="R46" s="14"/>
      <c r="S46" s="14"/>
      <c r="T46" s="14"/>
      <c r="U46" s="14"/>
      <c r="V46" s="14"/>
      <c r="W46" s="36"/>
      <c r="X46" s="36"/>
      <c r="Y46" s="36"/>
      <c r="Z46" s="36"/>
      <c r="AA46" s="36"/>
      <c r="AB46" s="36"/>
      <c r="AC46" s="36"/>
      <c r="AD46" s="36"/>
      <c r="AE46" s="55"/>
      <c r="AF46" s="36"/>
      <c r="AG46" s="36"/>
      <c r="AH46" s="36"/>
      <c r="AM46" s="4"/>
      <c r="AN46" s="4"/>
    </row>
    <row r="47" spans="1:44" s="31" customFormat="1" ht="21" thickBot="1">
      <c r="A47" s="149" t="s">
        <v>13</v>
      </c>
      <c r="B47" s="21" t="s">
        <v>84</v>
      </c>
      <c r="C47" s="357" t="s">
        <v>8</v>
      </c>
      <c r="D47" s="358" t="s">
        <v>4</v>
      </c>
      <c r="E47" s="358" t="s">
        <v>3</v>
      </c>
      <c r="F47" s="358" t="s">
        <v>13</v>
      </c>
      <c r="G47" s="28" t="s">
        <v>7</v>
      </c>
      <c r="H47" s="345" t="s">
        <v>24</v>
      </c>
      <c r="I47" s="29"/>
      <c r="J47" s="346" t="s">
        <v>25</v>
      </c>
      <c r="K47" s="28" t="s">
        <v>6</v>
      </c>
      <c r="L47" s="345" t="s">
        <v>76</v>
      </c>
      <c r="M47" s="29" t="s">
        <v>5</v>
      </c>
      <c r="N47" s="484" t="s">
        <v>29</v>
      </c>
      <c r="O47" s="484"/>
      <c r="P47" s="484"/>
      <c r="Q47" s="484" t="s">
        <v>30</v>
      </c>
      <c r="R47" s="484"/>
      <c r="S47" s="484"/>
      <c r="T47" s="484" t="s">
        <v>31</v>
      </c>
      <c r="U47" s="484"/>
      <c r="V47" s="484"/>
      <c r="W47" s="37"/>
      <c r="X47" s="483" t="s">
        <v>2</v>
      </c>
      <c r="Y47" s="483"/>
      <c r="Z47" s="483"/>
      <c r="AA47" s="37"/>
      <c r="AB47" s="483" t="s">
        <v>32</v>
      </c>
      <c r="AC47" s="483"/>
      <c r="AD47" s="483"/>
      <c r="AE47" s="359"/>
      <c r="AF47" s="483" t="s">
        <v>28</v>
      </c>
      <c r="AG47" s="483"/>
      <c r="AH47" s="483"/>
      <c r="AM47" s="18"/>
      <c r="AN47" s="18"/>
    </row>
    <row r="48" spans="1:44" ht="15.75">
      <c r="A48" s="3">
        <f>F48</f>
        <v>19</v>
      </c>
      <c r="B48" s="462" t="str">
        <f t="shared" ref="B48:B72" si="25">K$46</f>
        <v>Datum</v>
      </c>
      <c r="C48" s="459">
        <v>0.39583333333333331</v>
      </c>
      <c r="D48" s="427">
        <v>1</v>
      </c>
      <c r="E48" s="428">
        <v>1</v>
      </c>
      <c r="F48" s="428">
        <f>IF(H48&lt;21,COUNTIF(H$6:H48,"&lt;21"),"")</f>
        <v>19</v>
      </c>
      <c r="G48" s="429" t="str">
        <f t="shared" ref="G48:G72" si="26">IF(H48=21,"",INDEX($AM$7:$AN$22,H48,2))</f>
        <v>Team 3</v>
      </c>
      <c r="H48" s="463">
        <v>3</v>
      </c>
      <c r="I48" s="431" t="s">
        <v>16</v>
      </c>
      <c r="J48" s="463">
        <v>4</v>
      </c>
      <c r="K48" s="429" t="str">
        <f t="shared" ref="K48:K72" si="27">IF(J48=21,"",INDEX($AM$7:$AN$22,J48,2))</f>
        <v>Team 4</v>
      </c>
      <c r="L48" s="463">
        <v>8</v>
      </c>
      <c r="M48" s="429" t="str">
        <f t="shared" ref="M48:M72" si="28">IF(L48=21,"",INDEX($AM$7:$AN$22,L48,2))</f>
        <v>Team 8</v>
      </c>
      <c r="N48" s="432"/>
      <c r="O48" s="433" t="s">
        <v>0</v>
      </c>
      <c r="P48" s="432"/>
      <c r="Q48" s="432"/>
      <c r="R48" s="433" t="s">
        <v>0</v>
      </c>
      <c r="S48" s="432"/>
      <c r="T48" s="432"/>
      <c r="U48" s="433" t="s">
        <v>0</v>
      </c>
      <c r="V48" s="432"/>
      <c r="W48" s="434"/>
      <c r="X48" s="434" t="str">
        <f t="shared" ref="X48:X72" si="29">IF(N48+P48&gt;0,IF(AB48&gt;0,IF(AB48&gt;AD48,2,IF(AB48&lt;AD48,0,1)),0),"")</f>
        <v/>
      </c>
      <c r="Y48" s="433" t="s">
        <v>0</v>
      </c>
      <c r="Z48" s="434" t="str">
        <f t="shared" ref="Z48:Z72" si="30">IF(N48+P48&gt;0,IF(AD48&gt;0,IF(AD48&gt;AB48,2,IF(AD48&lt;AB48,0,1)),0),"")</f>
        <v/>
      </c>
      <c r="AA48" s="434"/>
      <c r="AB48" s="434" t="str">
        <f t="shared" ref="AB48:AB72" si="31">IF(N48+P48&gt;0,IF(N48&gt;P48,1,0)+IF(Q48&gt;S48,1,0)+IF(T48&gt;V48,1,0),"")</f>
        <v/>
      </c>
      <c r="AC48" s="433" t="s">
        <v>0</v>
      </c>
      <c r="AD48" s="434" t="str">
        <f t="shared" ref="AD48:AD72" si="32">IF(N48+P48&gt;0,IF(N48&lt;P48,1,0)+IF(Q48&lt;S48,1,0)+IF(T48&lt;V48,1,0),"")</f>
        <v/>
      </c>
      <c r="AE48" s="435"/>
      <c r="AF48" s="434" t="str">
        <f t="shared" ref="AF48:AF72" si="33">IF(N48+P48&gt;0,N48+Q48+T48,"")</f>
        <v/>
      </c>
      <c r="AG48" s="433" t="s">
        <v>0</v>
      </c>
      <c r="AH48" s="436" t="str">
        <f t="shared" ref="AH48:AH72" si="34">IF(N48+P48&gt;0,P48+S48+V48,"")</f>
        <v/>
      </c>
      <c r="AJ48" s="4" t="str">
        <f t="shared" ref="AJ48:AJ72" si="35">M$46</f>
        <v>Ort</v>
      </c>
      <c r="AM48" s="31"/>
      <c r="AN48" s="31"/>
      <c r="AQ48" s="4" t="s">
        <v>145</v>
      </c>
      <c r="AR48" s="4" t="str">
        <f>Platzierung!T25</f>
        <v>Team 5</v>
      </c>
    </row>
    <row r="49" spans="1:44" ht="15.75">
      <c r="A49" s="3">
        <f t="shared" ref="A49:A72" si="36">F49</f>
        <v>20</v>
      </c>
      <c r="B49" s="462" t="str">
        <f t="shared" si="25"/>
        <v>Datum</v>
      </c>
      <c r="C49" s="437" t="s">
        <v>75</v>
      </c>
      <c r="D49" s="438">
        <v>2</v>
      </c>
      <c r="E49" s="439">
        <v>1</v>
      </c>
      <c r="F49" s="439">
        <f>IF(H49&lt;21,COUNTIF(H$6:H49,"&lt;21"),"")</f>
        <v>20</v>
      </c>
      <c r="G49" s="440" t="str">
        <f t="shared" si="26"/>
        <v>Team 4</v>
      </c>
      <c r="H49" s="460">
        <v>4</v>
      </c>
      <c r="I49" s="442" t="s">
        <v>16</v>
      </c>
      <c r="J49" s="460">
        <v>8</v>
      </c>
      <c r="K49" s="440" t="str">
        <f t="shared" si="27"/>
        <v>Team 8</v>
      </c>
      <c r="L49" s="460">
        <v>3</v>
      </c>
      <c r="M49" s="440" t="str">
        <f t="shared" si="28"/>
        <v>Team 3</v>
      </c>
      <c r="N49" s="443"/>
      <c r="O49" s="444" t="s">
        <v>0</v>
      </c>
      <c r="P49" s="443"/>
      <c r="Q49" s="443"/>
      <c r="R49" s="444" t="s">
        <v>0</v>
      </c>
      <c r="S49" s="443"/>
      <c r="T49" s="443"/>
      <c r="U49" s="444" t="s">
        <v>0</v>
      </c>
      <c r="V49" s="443"/>
      <c r="W49" s="445"/>
      <c r="X49" s="445" t="str">
        <f t="shared" si="29"/>
        <v/>
      </c>
      <c r="Y49" s="444" t="s">
        <v>0</v>
      </c>
      <c r="Z49" s="445" t="str">
        <f t="shared" si="30"/>
        <v/>
      </c>
      <c r="AA49" s="445"/>
      <c r="AB49" s="445" t="str">
        <f t="shared" si="31"/>
        <v/>
      </c>
      <c r="AC49" s="444" t="s">
        <v>0</v>
      </c>
      <c r="AD49" s="445" t="str">
        <f t="shared" si="32"/>
        <v/>
      </c>
      <c r="AE49" s="446"/>
      <c r="AF49" s="445" t="str">
        <f t="shared" si="33"/>
        <v/>
      </c>
      <c r="AG49" s="444" t="s">
        <v>0</v>
      </c>
      <c r="AH49" s="447" t="str">
        <f t="shared" si="34"/>
        <v/>
      </c>
      <c r="AJ49" s="4" t="str">
        <f t="shared" si="35"/>
        <v>Ort</v>
      </c>
      <c r="AQ49" s="4" t="s">
        <v>145</v>
      </c>
      <c r="AR49" s="4" t="str">
        <f>Platzierung!T26</f>
        <v>Team 6</v>
      </c>
    </row>
    <row r="50" spans="1:44" ht="16.5" thickBot="1">
      <c r="A50" s="3">
        <f t="shared" si="36"/>
        <v>21</v>
      </c>
      <c r="B50" s="462" t="str">
        <f t="shared" si="25"/>
        <v>Datum</v>
      </c>
      <c r="C50" s="448" t="s">
        <v>75</v>
      </c>
      <c r="D50" s="449">
        <v>3</v>
      </c>
      <c r="E50" s="450">
        <v>1</v>
      </c>
      <c r="F50" s="450">
        <f>IF(H50&lt;21,COUNTIF(H$6:H50,"&lt;21"),"")</f>
        <v>21</v>
      </c>
      <c r="G50" s="451" t="str">
        <f t="shared" si="26"/>
        <v>Team 8</v>
      </c>
      <c r="H50" s="452">
        <v>8</v>
      </c>
      <c r="I50" s="453" t="s">
        <v>16</v>
      </c>
      <c r="J50" s="452">
        <v>3</v>
      </c>
      <c r="K50" s="451" t="str">
        <f t="shared" si="27"/>
        <v>Team 3</v>
      </c>
      <c r="L50" s="452">
        <v>4</v>
      </c>
      <c r="M50" s="451" t="str">
        <f t="shared" si="28"/>
        <v>Team 4</v>
      </c>
      <c r="N50" s="454"/>
      <c r="O50" s="455" t="s">
        <v>0</v>
      </c>
      <c r="P50" s="454"/>
      <c r="Q50" s="454"/>
      <c r="R50" s="455" t="s">
        <v>0</v>
      </c>
      <c r="S50" s="454"/>
      <c r="T50" s="454"/>
      <c r="U50" s="455" t="s">
        <v>0</v>
      </c>
      <c r="V50" s="454"/>
      <c r="W50" s="456"/>
      <c r="X50" s="456" t="str">
        <f t="shared" si="29"/>
        <v/>
      </c>
      <c r="Y50" s="455" t="s">
        <v>0</v>
      </c>
      <c r="Z50" s="456" t="str">
        <f t="shared" si="30"/>
        <v/>
      </c>
      <c r="AA50" s="456"/>
      <c r="AB50" s="456" t="str">
        <f t="shared" si="31"/>
        <v/>
      </c>
      <c r="AC50" s="455" t="s">
        <v>0</v>
      </c>
      <c r="AD50" s="456" t="str">
        <f t="shared" si="32"/>
        <v/>
      </c>
      <c r="AE50" s="457"/>
      <c r="AF50" s="456" t="str">
        <f t="shared" si="33"/>
        <v/>
      </c>
      <c r="AG50" s="455" t="s">
        <v>0</v>
      </c>
      <c r="AH50" s="458" t="str">
        <f t="shared" si="34"/>
        <v/>
      </c>
      <c r="AJ50" s="4" t="str">
        <f t="shared" si="35"/>
        <v>Ort</v>
      </c>
    </row>
    <row r="51" spans="1:44" ht="15.75">
      <c r="A51" s="3">
        <f t="shared" si="36"/>
        <v>22</v>
      </c>
      <c r="B51" s="462" t="str">
        <f t="shared" si="25"/>
        <v>Datum</v>
      </c>
      <c r="C51" s="393">
        <v>0.5</v>
      </c>
      <c r="D51" s="394">
        <v>4</v>
      </c>
      <c r="E51" s="395">
        <v>1</v>
      </c>
      <c r="F51" s="395">
        <f>IF(H51&lt;21,COUNTIF(H$6:H51,"&lt;21"),"")</f>
        <v>22</v>
      </c>
      <c r="G51" s="396" t="str">
        <f t="shared" si="26"/>
        <v>Team 1</v>
      </c>
      <c r="H51" s="465">
        <v>1</v>
      </c>
      <c r="I51" s="398" t="s">
        <v>16</v>
      </c>
      <c r="J51" s="465">
        <v>5</v>
      </c>
      <c r="K51" s="396" t="str">
        <f t="shared" si="27"/>
        <v>Team 5</v>
      </c>
      <c r="L51" s="465">
        <v>9</v>
      </c>
      <c r="M51" s="396" t="e">
        <f t="shared" si="28"/>
        <v>#REF!</v>
      </c>
      <c r="N51" s="399"/>
      <c r="O51" s="400" t="s">
        <v>0</v>
      </c>
      <c r="P51" s="399"/>
      <c r="Q51" s="399"/>
      <c r="R51" s="400" t="s">
        <v>0</v>
      </c>
      <c r="S51" s="399"/>
      <c r="T51" s="399"/>
      <c r="U51" s="400" t="s">
        <v>0</v>
      </c>
      <c r="V51" s="399"/>
      <c r="W51" s="401"/>
      <c r="X51" s="401" t="str">
        <f t="shared" si="29"/>
        <v/>
      </c>
      <c r="Y51" s="400" t="s">
        <v>0</v>
      </c>
      <c r="Z51" s="401" t="str">
        <f t="shared" si="30"/>
        <v/>
      </c>
      <c r="AA51" s="401"/>
      <c r="AB51" s="401" t="str">
        <f t="shared" si="31"/>
        <v/>
      </c>
      <c r="AC51" s="400" t="s">
        <v>0</v>
      </c>
      <c r="AD51" s="401" t="str">
        <f t="shared" si="32"/>
        <v/>
      </c>
      <c r="AE51" s="402"/>
      <c r="AF51" s="401" t="str">
        <f t="shared" si="33"/>
        <v/>
      </c>
      <c r="AG51" s="400" t="s">
        <v>0</v>
      </c>
      <c r="AH51" s="403" t="str">
        <f t="shared" si="34"/>
        <v/>
      </c>
      <c r="AJ51" s="4" t="str">
        <f t="shared" si="35"/>
        <v>Ort</v>
      </c>
    </row>
    <row r="52" spans="1:44" ht="15.75">
      <c r="A52" s="3">
        <f t="shared" si="36"/>
        <v>23</v>
      </c>
      <c r="B52" s="462" t="str">
        <f t="shared" si="25"/>
        <v>Datum</v>
      </c>
      <c r="C52" s="404" t="s">
        <v>75</v>
      </c>
      <c r="D52" s="405">
        <v>5</v>
      </c>
      <c r="E52" s="406">
        <v>1</v>
      </c>
      <c r="F52" s="406">
        <f>IF(H52&lt;21,COUNTIF(H$6:H52,"&lt;21"),"")</f>
        <v>23</v>
      </c>
      <c r="G52" s="407" t="str">
        <f t="shared" si="26"/>
        <v>Team 5</v>
      </c>
      <c r="H52" s="466">
        <v>5</v>
      </c>
      <c r="I52" s="409" t="s">
        <v>16</v>
      </c>
      <c r="J52" s="466">
        <v>9</v>
      </c>
      <c r="K52" s="407" t="e">
        <f t="shared" si="27"/>
        <v>#REF!</v>
      </c>
      <c r="L52" s="466">
        <v>1</v>
      </c>
      <c r="M52" s="407" t="str">
        <f t="shared" si="28"/>
        <v>Team 1</v>
      </c>
      <c r="N52" s="410"/>
      <c r="O52" s="411" t="s">
        <v>0</v>
      </c>
      <c r="P52" s="410"/>
      <c r="Q52" s="410"/>
      <c r="R52" s="411" t="s">
        <v>0</v>
      </c>
      <c r="S52" s="410"/>
      <c r="T52" s="410"/>
      <c r="U52" s="411" t="s">
        <v>0</v>
      </c>
      <c r="V52" s="410"/>
      <c r="W52" s="412"/>
      <c r="X52" s="412" t="str">
        <f t="shared" si="29"/>
        <v/>
      </c>
      <c r="Y52" s="411" t="s">
        <v>0</v>
      </c>
      <c r="Z52" s="412" t="str">
        <f t="shared" si="30"/>
        <v/>
      </c>
      <c r="AA52" s="412"/>
      <c r="AB52" s="412" t="str">
        <f t="shared" si="31"/>
        <v/>
      </c>
      <c r="AC52" s="411" t="s">
        <v>0</v>
      </c>
      <c r="AD52" s="412" t="str">
        <f t="shared" si="32"/>
        <v/>
      </c>
      <c r="AE52" s="413"/>
      <c r="AF52" s="412" t="str">
        <f t="shared" si="33"/>
        <v/>
      </c>
      <c r="AG52" s="411" t="s">
        <v>0</v>
      </c>
      <c r="AH52" s="414" t="str">
        <f t="shared" si="34"/>
        <v/>
      </c>
      <c r="AJ52" s="4" t="str">
        <f t="shared" si="35"/>
        <v>Ort</v>
      </c>
    </row>
    <row r="53" spans="1:44" ht="16.5" thickBot="1">
      <c r="A53" s="3">
        <f t="shared" si="36"/>
        <v>24</v>
      </c>
      <c r="B53" s="462" t="str">
        <f t="shared" si="25"/>
        <v>Datum</v>
      </c>
      <c r="C53" s="415" t="s">
        <v>75</v>
      </c>
      <c r="D53" s="416">
        <v>6</v>
      </c>
      <c r="E53" s="417">
        <v>1</v>
      </c>
      <c r="F53" s="417">
        <f>IF(H53&lt;21,COUNTIF(H$6:H53,"&lt;21"),"")</f>
        <v>24</v>
      </c>
      <c r="G53" s="418" t="e">
        <f t="shared" si="26"/>
        <v>#REF!</v>
      </c>
      <c r="H53" s="419">
        <v>9</v>
      </c>
      <c r="I53" s="420" t="s">
        <v>16</v>
      </c>
      <c r="J53" s="419">
        <v>1</v>
      </c>
      <c r="K53" s="418" t="str">
        <f t="shared" si="27"/>
        <v>Team 1</v>
      </c>
      <c r="L53" s="419">
        <v>5</v>
      </c>
      <c r="M53" s="418" t="str">
        <f t="shared" si="28"/>
        <v>Team 5</v>
      </c>
      <c r="N53" s="421"/>
      <c r="O53" s="422" t="s">
        <v>0</v>
      </c>
      <c r="P53" s="421"/>
      <c r="Q53" s="421"/>
      <c r="R53" s="422" t="s">
        <v>0</v>
      </c>
      <c r="S53" s="421"/>
      <c r="T53" s="421"/>
      <c r="U53" s="422" t="s">
        <v>0</v>
      </c>
      <c r="V53" s="421"/>
      <c r="W53" s="423"/>
      <c r="X53" s="423" t="str">
        <f t="shared" si="29"/>
        <v/>
      </c>
      <c r="Y53" s="422" t="s">
        <v>0</v>
      </c>
      <c r="Z53" s="423" t="str">
        <f t="shared" si="30"/>
        <v/>
      </c>
      <c r="AA53" s="423"/>
      <c r="AB53" s="423" t="str">
        <f t="shared" si="31"/>
        <v/>
      </c>
      <c r="AC53" s="422" t="s">
        <v>0</v>
      </c>
      <c r="AD53" s="423" t="str">
        <f t="shared" si="32"/>
        <v/>
      </c>
      <c r="AE53" s="424"/>
      <c r="AF53" s="423" t="str">
        <f t="shared" si="33"/>
        <v/>
      </c>
      <c r="AG53" s="422" t="s">
        <v>0</v>
      </c>
      <c r="AH53" s="425" t="str">
        <f t="shared" si="34"/>
        <v/>
      </c>
      <c r="AJ53" s="4" t="str">
        <f t="shared" si="35"/>
        <v>Ort</v>
      </c>
    </row>
    <row r="54" spans="1:44" ht="15.75">
      <c r="A54" s="3">
        <f t="shared" si="36"/>
        <v>25</v>
      </c>
      <c r="B54" s="462" t="str">
        <f t="shared" si="25"/>
        <v>Datum</v>
      </c>
      <c r="C54" s="360">
        <v>0.60416666666666663</v>
      </c>
      <c r="D54" s="361">
        <v>7</v>
      </c>
      <c r="E54" s="362">
        <v>1</v>
      </c>
      <c r="F54" s="362">
        <f>IF(H54&lt;21,COUNTIF(H$6:H54,"&lt;21"),"")</f>
        <v>25</v>
      </c>
      <c r="G54" s="363" t="str">
        <f t="shared" si="26"/>
        <v>Team 2</v>
      </c>
      <c r="H54" s="464">
        <v>2</v>
      </c>
      <c r="I54" s="365" t="s">
        <v>16</v>
      </c>
      <c r="J54" s="464">
        <v>6</v>
      </c>
      <c r="K54" s="363" t="str">
        <f t="shared" si="27"/>
        <v>Team 6</v>
      </c>
      <c r="L54" s="464">
        <v>7</v>
      </c>
      <c r="M54" s="363" t="str">
        <f t="shared" si="28"/>
        <v>Team 7</v>
      </c>
      <c r="N54" s="366"/>
      <c r="O54" s="367" t="s">
        <v>0</v>
      </c>
      <c r="P54" s="366"/>
      <c r="Q54" s="366"/>
      <c r="R54" s="367" t="s">
        <v>0</v>
      </c>
      <c r="S54" s="366"/>
      <c r="T54" s="366"/>
      <c r="U54" s="367" t="s">
        <v>0</v>
      </c>
      <c r="V54" s="366"/>
      <c r="W54" s="368"/>
      <c r="X54" s="368" t="str">
        <f t="shared" si="29"/>
        <v/>
      </c>
      <c r="Y54" s="367" t="s">
        <v>0</v>
      </c>
      <c r="Z54" s="368" t="str">
        <f t="shared" si="30"/>
        <v/>
      </c>
      <c r="AA54" s="368"/>
      <c r="AB54" s="368" t="str">
        <f t="shared" si="31"/>
        <v/>
      </c>
      <c r="AC54" s="367" t="s">
        <v>0</v>
      </c>
      <c r="AD54" s="368" t="str">
        <f t="shared" si="32"/>
        <v/>
      </c>
      <c r="AE54" s="369"/>
      <c r="AF54" s="368" t="str">
        <f t="shared" si="33"/>
        <v/>
      </c>
      <c r="AG54" s="367" t="s">
        <v>0</v>
      </c>
      <c r="AH54" s="370" t="str">
        <f t="shared" si="34"/>
        <v/>
      </c>
      <c r="AJ54" s="4" t="str">
        <f t="shared" si="35"/>
        <v>Ort</v>
      </c>
    </row>
    <row r="55" spans="1:44" ht="15.75">
      <c r="A55" s="3">
        <f t="shared" si="36"/>
        <v>26</v>
      </c>
      <c r="B55" s="462" t="str">
        <f t="shared" si="25"/>
        <v>Datum</v>
      </c>
      <c r="C55" s="371" t="s">
        <v>75</v>
      </c>
      <c r="D55" s="372">
        <v>8</v>
      </c>
      <c r="E55" s="373">
        <v>1</v>
      </c>
      <c r="F55" s="373">
        <f>IF(H55&lt;21,COUNTIF(H$6:H55,"&lt;21"),"")</f>
        <v>26</v>
      </c>
      <c r="G55" s="374" t="str">
        <f t="shared" si="26"/>
        <v>Team 6</v>
      </c>
      <c r="H55" s="461">
        <v>6</v>
      </c>
      <c r="I55" s="376" t="s">
        <v>16</v>
      </c>
      <c r="J55" s="461">
        <v>7</v>
      </c>
      <c r="K55" s="374" t="str">
        <f t="shared" si="27"/>
        <v>Team 7</v>
      </c>
      <c r="L55" s="461">
        <v>2</v>
      </c>
      <c r="M55" s="374" t="str">
        <f t="shared" si="28"/>
        <v>Team 2</v>
      </c>
      <c r="N55" s="377"/>
      <c r="O55" s="378" t="s">
        <v>0</v>
      </c>
      <c r="P55" s="377"/>
      <c r="Q55" s="377"/>
      <c r="R55" s="378" t="s">
        <v>0</v>
      </c>
      <c r="S55" s="377"/>
      <c r="T55" s="377"/>
      <c r="U55" s="378" t="s">
        <v>0</v>
      </c>
      <c r="V55" s="377"/>
      <c r="W55" s="379"/>
      <c r="X55" s="379" t="str">
        <f t="shared" si="29"/>
        <v/>
      </c>
      <c r="Y55" s="378" t="s">
        <v>0</v>
      </c>
      <c r="Z55" s="379" t="str">
        <f t="shared" si="30"/>
        <v/>
      </c>
      <c r="AA55" s="379"/>
      <c r="AB55" s="379" t="str">
        <f t="shared" si="31"/>
        <v/>
      </c>
      <c r="AC55" s="378" t="s">
        <v>0</v>
      </c>
      <c r="AD55" s="379" t="str">
        <f t="shared" si="32"/>
        <v/>
      </c>
      <c r="AE55" s="380"/>
      <c r="AF55" s="379" t="str">
        <f t="shared" si="33"/>
        <v/>
      </c>
      <c r="AG55" s="378" t="s">
        <v>0</v>
      </c>
      <c r="AH55" s="381" t="str">
        <f t="shared" si="34"/>
        <v/>
      </c>
      <c r="AJ55" s="4" t="str">
        <f t="shared" si="35"/>
        <v>Ort</v>
      </c>
    </row>
    <row r="56" spans="1:44" ht="16.5" thickBot="1">
      <c r="A56" s="3">
        <f t="shared" si="36"/>
        <v>27</v>
      </c>
      <c r="B56" s="462" t="str">
        <f t="shared" si="25"/>
        <v>Datum</v>
      </c>
      <c r="C56" s="382" t="s">
        <v>75</v>
      </c>
      <c r="D56" s="383">
        <v>9</v>
      </c>
      <c r="E56" s="384">
        <v>1</v>
      </c>
      <c r="F56" s="384">
        <f>IF(H56&lt;21,COUNTIF(H$6:H56,"&lt;21"),"")</f>
        <v>27</v>
      </c>
      <c r="G56" s="385" t="str">
        <f t="shared" si="26"/>
        <v>Team 7</v>
      </c>
      <c r="H56" s="386">
        <v>7</v>
      </c>
      <c r="I56" s="387" t="s">
        <v>16</v>
      </c>
      <c r="J56" s="386">
        <v>2</v>
      </c>
      <c r="K56" s="385" t="str">
        <f t="shared" si="27"/>
        <v>Team 2</v>
      </c>
      <c r="L56" s="386">
        <v>6</v>
      </c>
      <c r="M56" s="385" t="str">
        <f t="shared" si="28"/>
        <v>Team 6</v>
      </c>
      <c r="N56" s="388"/>
      <c r="O56" s="389" t="s">
        <v>0</v>
      </c>
      <c r="P56" s="388"/>
      <c r="Q56" s="388"/>
      <c r="R56" s="389" t="s">
        <v>0</v>
      </c>
      <c r="S56" s="388"/>
      <c r="T56" s="388"/>
      <c r="U56" s="389" t="s">
        <v>0</v>
      </c>
      <c r="V56" s="388"/>
      <c r="W56" s="390"/>
      <c r="X56" s="390" t="str">
        <f t="shared" si="29"/>
        <v/>
      </c>
      <c r="Y56" s="389" t="s">
        <v>0</v>
      </c>
      <c r="Z56" s="390" t="str">
        <f t="shared" si="30"/>
        <v/>
      </c>
      <c r="AA56" s="390"/>
      <c r="AB56" s="390" t="str">
        <f t="shared" si="31"/>
        <v/>
      </c>
      <c r="AC56" s="389" t="s">
        <v>0</v>
      </c>
      <c r="AD56" s="390" t="str">
        <f t="shared" si="32"/>
        <v/>
      </c>
      <c r="AE56" s="391"/>
      <c r="AF56" s="390" t="str">
        <f t="shared" si="33"/>
        <v/>
      </c>
      <c r="AG56" s="389" t="s">
        <v>0</v>
      </c>
      <c r="AH56" s="392" t="str">
        <f t="shared" si="34"/>
        <v/>
      </c>
      <c r="AJ56" s="4" t="str">
        <f t="shared" si="35"/>
        <v>Ort</v>
      </c>
    </row>
    <row r="57" spans="1:44" s="31" customFormat="1" ht="15.75" hidden="1">
      <c r="A57" s="3" t="str">
        <f t="shared" si="36"/>
        <v/>
      </c>
      <c r="B57" s="351" t="str">
        <f t="shared" si="25"/>
        <v>Datum</v>
      </c>
      <c r="C57" s="41" t="s">
        <v>75</v>
      </c>
      <c r="D57" s="42"/>
      <c r="E57" s="3">
        <v>1</v>
      </c>
      <c r="F57" s="3" t="str">
        <f>IF(H57&lt;21,COUNTIF(H$6:H57,"&lt;21"),"")</f>
        <v/>
      </c>
      <c r="G57" s="7" t="str">
        <f t="shared" si="26"/>
        <v/>
      </c>
      <c r="H57" s="350">
        <v>21</v>
      </c>
      <c r="I57" s="30" t="s">
        <v>16</v>
      </c>
      <c r="J57" s="350">
        <v>21</v>
      </c>
      <c r="K57" s="7" t="str">
        <f t="shared" si="27"/>
        <v/>
      </c>
      <c r="L57" s="350">
        <v>21</v>
      </c>
      <c r="M57" s="7" t="str">
        <f t="shared" si="28"/>
        <v/>
      </c>
      <c r="N57" s="39"/>
      <c r="O57" s="40" t="s">
        <v>0</v>
      </c>
      <c r="P57" s="39"/>
      <c r="Q57" s="39"/>
      <c r="R57" s="40" t="s">
        <v>0</v>
      </c>
      <c r="S57" s="39"/>
      <c r="T57" s="39"/>
      <c r="U57" s="40" t="s">
        <v>0</v>
      </c>
      <c r="V57" s="39"/>
      <c r="W57" s="38"/>
      <c r="X57" s="38" t="str">
        <f t="shared" si="29"/>
        <v/>
      </c>
      <c r="Y57" s="40" t="s">
        <v>0</v>
      </c>
      <c r="Z57" s="38" t="str">
        <f t="shared" si="30"/>
        <v/>
      </c>
      <c r="AA57" s="38"/>
      <c r="AB57" s="38" t="str">
        <f t="shared" si="31"/>
        <v/>
      </c>
      <c r="AC57" s="40" t="s">
        <v>0</v>
      </c>
      <c r="AD57" s="38" t="str">
        <f t="shared" si="32"/>
        <v/>
      </c>
      <c r="AE57" s="57"/>
      <c r="AF57" s="38" t="str">
        <f t="shared" si="33"/>
        <v/>
      </c>
      <c r="AG57" s="40" t="s">
        <v>0</v>
      </c>
      <c r="AH57" s="38" t="str">
        <f t="shared" si="34"/>
        <v/>
      </c>
      <c r="AJ57" s="4" t="str">
        <f t="shared" si="35"/>
        <v>Ort</v>
      </c>
    </row>
    <row r="58" spans="1:44" ht="15.75" hidden="1">
      <c r="A58" s="3" t="str">
        <f t="shared" si="36"/>
        <v/>
      </c>
      <c r="B58" s="351" t="str">
        <f t="shared" si="25"/>
        <v>Datum</v>
      </c>
      <c r="C58" s="41" t="s">
        <v>75</v>
      </c>
      <c r="D58" s="42"/>
      <c r="E58" s="3">
        <v>1</v>
      </c>
      <c r="F58" s="3" t="str">
        <f>IF(H58&lt;21,COUNTIF(H$6:H58,"&lt;21"),"")</f>
        <v/>
      </c>
      <c r="G58" s="7" t="str">
        <f t="shared" si="26"/>
        <v/>
      </c>
      <c r="H58" s="350">
        <v>21</v>
      </c>
      <c r="I58" s="30" t="s">
        <v>16</v>
      </c>
      <c r="J58" s="350">
        <v>21</v>
      </c>
      <c r="K58" s="7" t="str">
        <f t="shared" si="27"/>
        <v/>
      </c>
      <c r="L58" s="350">
        <v>21</v>
      </c>
      <c r="M58" s="7" t="str">
        <f t="shared" si="28"/>
        <v/>
      </c>
      <c r="N58" s="39"/>
      <c r="O58" s="40" t="s">
        <v>0</v>
      </c>
      <c r="P58" s="39"/>
      <c r="Q58" s="39"/>
      <c r="R58" s="40" t="s">
        <v>0</v>
      </c>
      <c r="S58" s="39"/>
      <c r="T58" s="39"/>
      <c r="U58" s="40" t="s">
        <v>0</v>
      </c>
      <c r="V58" s="39"/>
      <c r="W58" s="38"/>
      <c r="X58" s="38" t="str">
        <f t="shared" si="29"/>
        <v/>
      </c>
      <c r="Y58" s="40" t="s">
        <v>0</v>
      </c>
      <c r="Z58" s="38" t="str">
        <f t="shared" si="30"/>
        <v/>
      </c>
      <c r="AA58" s="38"/>
      <c r="AB58" s="38" t="str">
        <f t="shared" si="31"/>
        <v/>
      </c>
      <c r="AC58" s="40" t="s">
        <v>0</v>
      </c>
      <c r="AD58" s="38" t="str">
        <f t="shared" si="32"/>
        <v/>
      </c>
      <c r="AE58" s="57"/>
      <c r="AF58" s="38" t="str">
        <f t="shared" si="33"/>
        <v/>
      </c>
      <c r="AG58" s="40" t="s">
        <v>0</v>
      </c>
      <c r="AH58" s="38" t="str">
        <f t="shared" si="34"/>
        <v/>
      </c>
      <c r="AJ58" s="4" t="str">
        <f t="shared" si="35"/>
        <v>Ort</v>
      </c>
      <c r="AM58" s="31"/>
      <c r="AN58" s="31"/>
    </row>
    <row r="59" spans="1:44" ht="15.75" hidden="1">
      <c r="A59" s="3" t="str">
        <f t="shared" si="36"/>
        <v/>
      </c>
      <c r="B59" s="351" t="str">
        <f t="shared" si="25"/>
        <v>Datum</v>
      </c>
      <c r="C59" s="41" t="s">
        <v>75</v>
      </c>
      <c r="D59" s="42"/>
      <c r="E59" s="3">
        <v>1</v>
      </c>
      <c r="F59" s="3" t="str">
        <f>IF(H59&lt;21,COUNTIF(H$6:H59,"&lt;21"),"")</f>
        <v/>
      </c>
      <c r="G59" s="7" t="str">
        <f t="shared" si="26"/>
        <v/>
      </c>
      <c r="H59" s="350">
        <v>21</v>
      </c>
      <c r="I59" s="30" t="s">
        <v>16</v>
      </c>
      <c r="J59" s="350">
        <v>21</v>
      </c>
      <c r="K59" s="7" t="str">
        <f t="shared" si="27"/>
        <v/>
      </c>
      <c r="L59" s="350">
        <v>21</v>
      </c>
      <c r="M59" s="7" t="str">
        <f t="shared" si="28"/>
        <v/>
      </c>
      <c r="N59" s="39"/>
      <c r="O59" s="40" t="s">
        <v>0</v>
      </c>
      <c r="P59" s="39"/>
      <c r="Q59" s="39"/>
      <c r="R59" s="40" t="s">
        <v>0</v>
      </c>
      <c r="S59" s="39"/>
      <c r="T59" s="39"/>
      <c r="U59" s="40" t="s">
        <v>0</v>
      </c>
      <c r="V59" s="39"/>
      <c r="W59" s="38"/>
      <c r="X59" s="38" t="str">
        <f t="shared" si="29"/>
        <v/>
      </c>
      <c r="Y59" s="40" t="s">
        <v>0</v>
      </c>
      <c r="Z59" s="38" t="str">
        <f t="shared" si="30"/>
        <v/>
      </c>
      <c r="AA59" s="38"/>
      <c r="AB59" s="38" t="str">
        <f t="shared" si="31"/>
        <v/>
      </c>
      <c r="AC59" s="40" t="s">
        <v>0</v>
      </c>
      <c r="AD59" s="38" t="str">
        <f t="shared" si="32"/>
        <v/>
      </c>
      <c r="AE59" s="57"/>
      <c r="AF59" s="38" t="str">
        <f t="shared" si="33"/>
        <v/>
      </c>
      <c r="AG59" s="40" t="s">
        <v>0</v>
      </c>
      <c r="AH59" s="38" t="str">
        <f t="shared" si="34"/>
        <v/>
      </c>
      <c r="AJ59" s="4" t="str">
        <f t="shared" si="35"/>
        <v>Ort</v>
      </c>
    </row>
    <row r="60" spans="1:44" ht="15.75" hidden="1">
      <c r="A60" s="3" t="str">
        <f t="shared" si="36"/>
        <v/>
      </c>
      <c r="B60" s="351" t="str">
        <f t="shared" si="25"/>
        <v>Datum</v>
      </c>
      <c r="C60" s="41" t="s">
        <v>75</v>
      </c>
      <c r="D60" s="42"/>
      <c r="E60" s="3">
        <v>1</v>
      </c>
      <c r="F60" s="3" t="str">
        <f>IF(H60&lt;21,COUNTIF(H$6:H60,"&lt;21"),"")</f>
        <v/>
      </c>
      <c r="G60" s="7" t="str">
        <f t="shared" si="26"/>
        <v/>
      </c>
      <c r="H60" s="350">
        <v>21</v>
      </c>
      <c r="I60" s="30" t="s">
        <v>16</v>
      </c>
      <c r="J60" s="350">
        <v>21</v>
      </c>
      <c r="K60" s="7" t="str">
        <f t="shared" si="27"/>
        <v/>
      </c>
      <c r="L60" s="350">
        <v>21</v>
      </c>
      <c r="M60" s="7" t="str">
        <f t="shared" si="28"/>
        <v/>
      </c>
      <c r="N60" s="39"/>
      <c r="O60" s="40" t="s">
        <v>0</v>
      </c>
      <c r="P60" s="39"/>
      <c r="Q60" s="39"/>
      <c r="R60" s="40" t="s">
        <v>0</v>
      </c>
      <c r="S60" s="39"/>
      <c r="T60" s="39"/>
      <c r="U60" s="40" t="s">
        <v>0</v>
      </c>
      <c r="V60" s="39"/>
      <c r="W60" s="38"/>
      <c r="X60" s="38" t="str">
        <f t="shared" si="29"/>
        <v/>
      </c>
      <c r="Y60" s="40" t="s">
        <v>0</v>
      </c>
      <c r="Z60" s="38" t="str">
        <f t="shared" si="30"/>
        <v/>
      </c>
      <c r="AA60" s="38"/>
      <c r="AB60" s="38" t="str">
        <f t="shared" si="31"/>
        <v/>
      </c>
      <c r="AC60" s="40" t="s">
        <v>0</v>
      </c>
      <c r="AD60" s="38" t="str">
        <f t="shared" si="32"/>
        <v/>
      </c>
      <c r="AE60" s="57"/>
      <c r="AF60" s="38" t="str">
        <f t="shared" si="33"/>
        <v/>
      </c>
      <c r="AG60" s="40" t="s">
        <v>0</v>
      </c>
      <c r="AH60" s="38" t="str">
        <f t="shared" si="34"/>
        <v/>
      </c>
      <c r="AJ60" s="4" t="str">
        <f t="shared" si="35"/>
        <v>Ort</v>
      </c>
    </row>
    <row r="61" spans="1:44" ht="15.75" hidden="1">
      <c r="A61" s="3" t="str">
        <f t="shared" si="36"/>
        <v/>
      </c>
      <c r="B61" s="351" t="str">
        <f t="shared" si="25"/>
        <v>Datum</v>
      </c>
      <c r="C61" s="41" t="s">
        <v>75</v>
      </c>
      <c r="D61" s="42"/>
      <c r="E61" s="3">
        <v>1</v>
      </c>
      <c r="F61" s="3" t="str">
        <f>IF(H61&lt;21,COUNTIF(H$6:H61,"&lt;21"),"")</f>
        <v/>
      </c>
      <c r="G61" s="7" t="str">
        <f t="shared" si="26"/>
        <v/>
      </c>
      <c r="H61" s="350">
        <v>21</v>
      </c>
      <c r="I61" s="30" t="s">
        <v>16</v>
      </c>
      <c r="J61" s="350">
        <v>21</v>
      </c>
      <c r="K61" s="7" t="str">
        <f t="shared" si="27"/>
        <v/>
      </c>
      <c r="L61" s="350">
        <v>21</v>
      </c>
      <c r="M61" s="7" t="str">
        <f t="shared" si="28"/>
        <v/>
      </c>
      <c r="N61" s="39"/>
      <c r="O61" s="40" t="s">
        <v>0</v>
      </c>
      <c r="P61" s="39"/>
      <c r="Q61" s="39"/>
      <c r="R61" s="40" t="s">
        <v>0</v>
      </c>
      <c r="S61" s="39"/>
      <c r="T61" s="39"/>
      <c r="U61" s="40" t="s">
        <v>0</v>
      </c>
      <c r="V61" s="39"/>
      <c r="W61" s="38"/>
      <c r="X61" s="38" t="str">
        <f t="shared" si="29"/>
        <v/>
      </c>
      <c r="Y61" s="40" t="s">
        <v>0</v>
      </c>
      <c r="Z61" s="38" t="str">
        <f t="shared" si="30"/>
        <v/>
      </c>
      <c r="AA61" s="38"/>
      <c r="AB61" s="38" t="str">
        <f t="shared" si="31"/>
        <v/>
      </c>
      <c r="AC61" s="40" t="s">
        <v>0</v>
      </c>
      <c r="AD61" s="38" t="str">
        <f t="shared" si="32"/>
        <v/>
      </c>
      <c r="AE61" s="57"/>
      <c r="AF61" s="38" t="str">
        <f t="shared" si="33"/>
        <v/>
      </c>
      <c r="AG61" s="40" t="s">
        <v>0</v>
      </c>
      <c r="AH61" s="38" t="str">
        <f t="shared" si="34"/>
        <v/>
      </c>
      <c r="AJ61" s="4" t="str">
        <f t="shared" si="35"/>
        <v>Ort</v>
      </c>
    </row>
    <row r="62" spans="1:44" ht="15.75" hidden="1">
      <c r="A62" s="3" t="str">
        <f t="shared" si="36"/>
        <v/>
      </c>
      <c r="B62" s="351" t="str">
        <f t="shared" si="25"/>
        <v>Datum</v>
      </c>
      <c r="C62" s="41" t="s">
        <v>75</v>
      </c>
      <c r="D62" s="42"/>
      <c r="E62" s="3">
        <v>1</v>
      </c>
      <c r="F62" s="3" t="str">
        <f>IF(H62&lt;21,COUNTIF(H$6:H62,"&lt;21"),"")</f>
        <v/>
      </c>
      <c r="G62" s="7" t="str">
        <f t="shared" si="26"/>
        <v/>
      </c>
      <c r="H62" s="350">
        <v>21</v>
      </c>
      <c r="I62" s="30" t="s">
        <v>16</v>
      </c>
      <c r="J62" s="350">
        <v>21</v>
      </c>
      <c r="K62" s="7" t="str">
        <f t="shared" si="27"/>
        <v/>
      </c>
      <c r="L62" s="350">
        <v>21</v>
      </c>
      <c r="M62" s="7" t="str">
        <f t="shared" si="28"/>
        <v/>
      </c>
      <c r="N62" s="39"/>
      <c r="O62" s="40" t="s">
        <v>0</v>
      </c>
      <c r="P62" s="39"/>
      <c r="Q62" s="39"/>
      <c r="R62" s="40" t="s">
        <v>0</v>
      </c>
      <c r="S62" s="39"/>
      <c r="T62" s="39"/>
      <c r="U62" s="40" t="s">
        <v>0</v>
      </c>
      <c r="V62" s="39"/>
      <c r="W62" s="38"/>
      <c r="X62" s="38" t="str">
        <f t="shared" si="29"/>
        <v/>
      </c>
      <c r="Y62" s="40" t="s">
        <v>0</v>
      </c>
      <c r="Z62" s="38" t="str">
        <f t="shared" si="30"/>
        <v/>
      </c>
      <c r="AA62" s="38"/>
      <c r="AB62" s="38" t="str">
        <f t="shared" si="31"/>
        <v/>
      </c>
      <c r="AC62" s="40" t="s">
        <v>0</v>
      </c>
      <c r="AD62" s="38" t="str">
        <f t="shared" si="32"/>
        <v/>
      </c>
      <c r="AE62" s="57"/>
      <c r="AF62" s="38" t="str">
        <f t="shared" si="33"/>
        <v/>
      </c>
      <c r="AG62" s="40" t="s">
        <v>0</v>
      </c>
      <c r="AH62" s="38" t="str">
        <f t="shared" si="34"/>
        <v/>
      </c>
      <c r="AJ62" s="4" t="str">
        <f t="shared" si="35"/>
        <v>Ort</v>
      </c>
    </row>
    <row r="63" spans="1:44" ht="15.75" hidden="1">
      <c r="A63" s="3" t="str">
        <f t="shared" si="36"/>
        <v/>
      </c>
      <c r="B63" s="351" t="str">
        <f t="shared" si="25"/>
        <v>Datum</v>
      </c>
      <c r="C63" s="41" t="s">
        <v>75</v>
      </c>
      <c r="D63" s="42"/>
      <c r="E63" s="3">
        <v>1</v>
      </c>
      <c r="F63" s="3" t="str">
        <f>IF(H63&lt;21,COUNTIF(H$6:H63,"&lt;21"),"")</f>
        <v/>
      </c>
      <c r="G63" s="7" t="str">
        <f t="shared" si="26"/>
        <v/>
      </c>
      <c r="H63" s="350">
        <v>21</v>
      </c>
      <c r="I63" s="30" t="s">
        <v>16</v>
      </c>
      <c r="J63" s="350">
        <v>21</v>
      </c>
      <c r="K63" s="7" t="str">
        <f t="shared" si="27"/>
        <v/>
      </c>
      <c r="L63" s="350">
        <v>21</v>
      </c>
      <c r="M63" s="7" t="str">
        <f t="shared" si="28"/>
        <v/>
      </c>
      <c r="N63" s="39"/>
      <c r="O63" s="40" t="s">
        <v>0</v>
      </c>
      <c r="P63" s="39"/>
      <c r="Q63" s="39"/>
      <c r="R63" s="40" t="s">
        <v>0</v>
      </c>
      <c r="S63" s="39"/>
      <c r="T63" s="39"/>
      <c r="U63" s="40" t="s">
        <v>0</v>
      </c>
      <c r="V63" s="39"/>
      <c r="W63" s="38"/>
      <c r="X63" s="38" t="str">
        <f t="shared" si="29"/>
        <v/>
      </c>
      <c r="Y63" s="40" t="s">
        <v>0</v>
      </c>
      <c r="Z63" s="38" t="str">
        <f t="shared" si="30"/>
        <v/>
      </c>
      <c r="AA63" s="38"/>
      <c r="AB63" s="38" t="str">
        <f t="shared" si="31"/>
        <v/>
      </c>
      <c r="AC63" s="40" t="s">
        <v>0</v>
      </c>
      <c r="AD63" s="38" t="str">
        <f t="shared" si="32"/>
        <v/>
      </c>
      <c r="AE63" s="57"/>
      <c r="AF63" s="38" t="str">
        <f t="shared" si="33"/>
        <v/>
      </c>
      <c r="AG63" s="40" t="s">
        <v>0</v>
      </c>
      <c r="AH63" s="38" t="str">
        <f t="shared" si="34"/>
        <v/>
      </c>
      <c r="AJ63" s="4" t="str">
        <f t="shared" si="35"/>
        <v>Ort</v>
      </c>
    </row>
    <row r="64" spans="1:44" ht="15.75" hidden="1">
      <c r="A64" s="3" t="str">
        <f t="shared" si="36"/>
        <v/>
      </c>
      <c r="B64" s="351" t="str">
        <f t="shared" si="25"/>
        <v>Datum</v>
      </c>
      <c r="C64" s="41" t="s">
        <v>75</v>
      </c>
      <c r="D64" s="42"/>
      <c r="E64" s="3">
        <v>1</v>
      </c>
      <c r="F64" s="3" t="str">
        <f>IF(H64&lt;21,COUNTIF(H$6:H64,"&lt;21"),"")</f>
        <v/>
      </c>
      <c r="G64" s="7" t="str">
        <f t="shared" si="26"/>
        <v/>
      </c>
      <c r="H64" s="350">
        <v>21</v>
      </c>
      <c r="I64" s="30" t="s">
        <v>16</v>
      </c>
      <c r="J64" s="350">
        <v>21</v>
      </c>
      <c r="K64" s="7" t="str">
        <f t="shared" si="27"/>
        <v/>
      </c>
      <c r="L64" s="350">
        <v>21</v>
      </c>
      <c r="M64" s="7" t="str">
        <f t="shared" si="28"/>
        <v/>
      </c>
      <c r="N64" s="39"/>
      <c r="O64" s="40" t="s">
        <v>0</v>
      </c>
      <c r="P64" s="39"/>
      <c r="Q64" s="39"/>
      <c r="R64" s="40" t="s">
        <v>0</v>
      </c>
      <c r="S64" s="39"/>
      <c r="T64" s="39"/>
      <c r="U64" s="40" t="s">
        <v>0</v>
      </c>
      <c r="V64" s="39"/>
      <c r="W64" s="38"/>
      <c r="X64" s="38" t="str">
        <f t="shared" si="29"/>
        <v/>
      </c>
      <c r="Y64" s="40" t="s">
        <v>0</v>
      </c>
      <c r="Z64" s="38" t="str">
        <f t="shared" si="30"/>
        <v/>
      </c>
      <c r="AA64" s="38"/>
      <c r="AB64" s="38" t="str">
        <f t="shared" si="31"/>
        <v/>
      </c>
      <c r="AC64" s="40" t="s">
        <v>0</v>
      </c>
      <c r="AD64" s="38" t="str">
        <f t="shared" si="32"/>
        <v/>
      </c>
      <c r="AE64" s="57"/>
      <c r="AF64" s="38" t="str">
        <f t="shared" si="33"/>
        <v/>
      </c>
      <c r="AG64" s="40" t="s">
        <v>0</v>
      </c>
      <c r="AH64" s="38" t="str">
        <f t="shared" si="34"/>
        <v/>
      </c>
      <c r="AJ64" s="4" t="str">
        <f t="shared" si="35"/>
        <v>Ort</v>
      </c>
    </row>
    <row r="65" spans="1:44" ht="15.75" hidden="1">
      <c r="A65" s="3" t="str">
        <f t="shared" si="36"/>
        <v/>
      </c>
      <c r="B65" s="351" t="str">
        <f t="shared" si="25"/>
        <v>Datum</v>
      </c>
      <c r="C65" s="41" t="s">
        <v>75</v>
      </c>
      <c r="D65" s="42"/>
      <c r="E65" s="3">
        <v>1</v>
      </c>
      <c r="F65" s="3" t="str">
        <f>IF(H65&lt;21,COUNTIF(H$6:H65,"&lt;21"),"")</f>
        <v/>
      </c>
      <c r="G65" s="7" t="str">
        <f t="shared" si="26"/>
        <v/>
      </c>
      <c r="H65" s="350">
        <v>21</v>
      </c>
      <c r="I65" s="30" t="s">
        <v>16</v>
      </c>
      <c r="J65" s="350">
        <v>21</v>
      </c>
      <c r="K65" s="7" t="str">
        <f t="shared" si="27"/>
        <v/>
      </c>
      <c r="L65" s="350">
        <v>21</v>
      </c>
      <c r="M65" s="7" t="str">
        <f t="shared" si="28"/>
        <v/>
      </c>
      <c r="N65" s="39"/>
      <c r="O65" s="40" t="s">
        <v>0</v>
      </c>
      <c r="P65" s="39"/>
      <c r="Q65" s="39"/>
      <c r="R65" s="40" t="s">
        <v>0</v>
      </c>
      <c r="S65" s="39"/>
      <c r="T65" s="39"/>
      <c r="U65" s="40" t="s">
        <v>0</v>
      </c>
      <c r="V65" s="39"/>
      <c r="W65" s="38"/>
      <c r="X65" s="38" t="str">
        <f t="shared" si="29"/>
        <v/>
      </c>
      <c r="Y65" s="40" t="s">
        <v>0</v>
      </c>
      <c r="Z65" s="38" t="str">
        <f t="shared" si="30"/>
        <v/>
      </c>
      <c r="AA65" s="38"/>
      <c r="AB65" s="38" t="str">
        <f t="shared" si="31"/>
        <v/>
      </c>
      <c r="AC65" s="40" t="s">
        <v>0</v>
      </c>
      <c r="AD65" s="38" t="str">
        <f t="shared" si="32"/>
        <v/>
      </c>
      <c r="AE65" s="57"/>
      <c r="AF65" s="38" t="str">
        <f t="shared" si="33"/>
        <v/>
      </c>
      <c r="AG65" s="40" t="s">
        <v>0</v>
      </c>
      <c r="AH65" s="38" t="str">
        <f t="shared" si="34"/>
        <v/>
      </c>
      <c r="AJ65" s="4" t="str">
        <f t="shared" si="35"/>
        <v>Ort</v>
      </c>
    </row>
    <row r="66" spans="1:44" ht="15.75" hidden="1">
      <c r="A66" s="3" t="str">
        <f t="shared" si="36"/>
        <v/>
      </c>
      <c r="B66" s="351" t="str">
        <f t="shared" si="25"/>
        <v>Datum</v>
      </c>
      <c r="C66" s="41" t="s">
        <v>75</v>
      </c>
      <c r="D66" s="42"/>
      <c r="E66" s="3">
        <v>1</v>
      </c>
      <c r="F66" s="3" t="str">
        <f>IF(H66&lt;21,COUNTIF(H$6:H66,"&lt;21"),"")</f>
        <v/>
      </c>
      <c r="G66" s="7" t="str">
        <f t="shared" si="26"/>
        <v/>
      </c>
      <c r="H66" s="350">
        <v>21</v>
      </c>
      <c r="I66" s="30" t="s">
        <v>16</v>
      </c>
      <c r="J66" s="350">
        <v>21</v>
      </c>
      <c r="K66" s="7" t="str">
        <f t="shared" si="27"/>
        <v/>
      </c>
      <c r="L66" s="350">
        <v>21</v>
      </c>
      <c r="M66" s="7" t="str">
        <f t="shared" si="28"/>
        <v/>
      </c>
      <c r="N66" s="39"/>
      <c r="O66" s="40" t="s">
        <v>0</v>
      </c>
      <c r="P66" s="39"/>
      <c r="Q66" s="39"/>
      <c r="R66" s="40" t="s">
        <v>0</v>
      </c>
      <c r="S66" s="39"/>
      <c r="T66" s="39"/>
      <c r="U66" s="40" t="s">
        <v>0</v>
      </c>
      <c r="V66" s="39"/>
      <c r="W66" s="38"/>
      <c r="X66" s="38" t="str">
        <f t="shared" si="29"/>
        <v/>
      </c>
      <c r="Y66" s="40" t="s">
        <v>0</v>
      </c>
      <c r="Z66" s="38" t="str">
        <f t="shared" si="30"/>
        <v/>
      </c>
      <c r="AA66" s="38"/>
      <c r="AB66" s="38" t="str">
        <f t="shared" si="31"/>
        <v/>
      </c>
      <c r="AC66" s="40" t="s">
        <v>0</v>
      </c>
      <c r="AD66" s="38" t="str">
        <f t="shared" si="32"/>
        <v/>
      </c>
      <c r="AE66" s="57"/>
      <c r="AF66" s="38" t="str">
        <f t="shared" si="33"/>
        <v/>
      </c>
      <c r="AG66" s="40" t="s">
        <v>0</v>
      </c>
      <c r="AH66" s="38" t="str">
        <f t="shared" si="34"/>
        <v/>
      </c>
      <c r="AJ66" s="4" t="str">
        <f t="shared" si="35"/>
        <v>Ort</v>
      </c>
    </row>
    <row r="67" spans="1:44" ht="15.75" hidden="1">
      <c r="A67" s="3" t="str">
        <f t="shared" si="36"/>
        <v/>
      </c>
      <c r="B67" s="351" t="str">
        <f t="shared" si="25"/>
        <v>Datum</v>
      </c>
      <c r="C67" s="41" t="s">
        <v>75</v>
      </c>
      <c r="D67" s="42"/>
      <c r="E67" s="3">
        <v>1</v>
      </c>
      <c r="F67" s="3" t="str">
        <f>IF(H67&lt;21,COUNTIF(H$6:H67,"&lt;21"),"")</f>
        <v/>
      </c>
      <c r="G67" s="7" t="str">
        <f t="shared" si="26"/>
        <v/>
      </c>
      <c r="H67" s="350">
        <v>21</v>
      </c>
      <c r="I67" s="30" t="s">
        <v>16</v>
      </c>
      <c r="J67" s="350">
        <v>21</v>
      </c>
      <c r="K67" s="7" t="str">
        <f t="shared" si="27"/>
        <v/>
      </c>
      <c r="L67" s="350">
        <v>21</v>
      </c>
      <c r="M67" s="7" t="str">
        <f t="shared" si="28"/>
        <v/>
      </c>
      <c r="N67" s="39"/>
      <c r="O67" s="40" t="s">
        <v>0</v>
      </c>
      <c r="P67" s="39"/>
      <c r="Q67" s="39"/>
      <c r="R67" s="40" t="s">
        <v>0</v>
      </c>
      <c r="S67" s="39"/>
      <c r="T67" s="39"/>
      <c r="U67" s="40" t="s">
        <v>0</v>
      </c>
      <c r="V67" s="39"/>
      <c r="W67" s="38"/>
      <c r="X67" s="38" t="str">
        <f t="shared" si="29"/>
        <v/>
      </c>
      <c r="Y67" s="40" t="s">
        <v>0</v>
      </c>
      <c r="Z67" s="38" t="str">
        <f t="shared" si="30"/>
        <v/>
      </c>
      <c r="AA67" s="38"/>
      <c r="AB67" s="38" t="str">
        <f t="shared" si="31"/>
        <v/>
      </c>
      <c r="AC67" s="40" t="s">
        <v>0</v>
      </c>
      <c r="AD67" s="38" t="str">
        <f t="shared" si="32"/>
        <v/>
      </c>
      <c r="AE67" s="57"/>
      <c r="AF67" s="38" t="str">
        <f t="shared" si="33"/>
        <v/>
      </c>
      <c r="AG67" s="40" t="s">
        <v>0</v>
      </c>
      <c r="AH67" s="38" t="str">
        <f t="shared" si="34"/>
        <v/>
      </c>
      <c r="AJ67" s="4" t="str">
        <f t="shared" si="35"/>
        <v>Ort</v>
      </c>
    </row>
    <row r="68" spans="1:44" ht="15.75" hidden="1">
      <c r="A68" s="3" t="str">
        <f t="shared" si="36"/>
        <v/>
      </c>
      <c r="B68" s="351" t="str">
        <f t="shared" si="25"/>
        <v>Datum</v>
      </c>
      <c r="C68" s="41" t="s">
        <v>75</v>
      </c>
      <c r="D68" s="42"/>
      <c r="E68" s="3">
        <v>1</v>
      </c>
      <c r="F68" s="3" t="str">
        <f>IF(H68&lt;21,COUNTIF(H$6:H68,"&lt;21"),"")</f>
        <v/>
      </c>
      <c r="G68" s="7" t="str">
        <f t="shared" si="26"/>
        <v/>
      </c>
      <c r="H68" s="350">
        <v>21</v>
      </c>
      <c r="I68" s="30" t="s">
        <v>16</v>
      </c>
      <c r="J68" s="350">
        <v>21</v>
      </c>
      <c r="K68" s="7" t="str">
        <f t="shared" si="27"/>
        <v/>
      </c>
      <c r="L68" s="350">
        <v>21</v>
      </c>
      <c r="M68" s="7" t="str">
        <f t="shared" si="28"/>
        <v/>
      </c>
      <c r="N68" s="39"/>
      <c r="O68" s="40" t="s">
        <v>0</v>
      </c>
      <c r="P68" s="39"/>
      <c r="Q68" s="39"/>
      <c r="R68" s="40" t="s">
        <v>0</v>
      </c>
      <c r="S68" s="39"/>
      <c r="T68" s="39"/>
      <c r="U68" s="40" t="s">
        <v>0</v>
      </c>
      <c r="V68" s="39"/>
      <c r="W68" s="38"/>
      <c r="X68" s="38" t="str">
        <f t="shared" si="29"/>
        <v/>
      </c>
      <c r="Y68" s="40" t="s">
        <v>0</v>
      </c>
      <c r="Z68" s="38" t="str">
        <f t="shared" si="30"/>
        <v/>
      </c>
      <c r="AA68" s="38"/>
      <c r="AB68" s="38" t="str">
        <f t="shared" si="31"/>
        <v/>
      </c>
      <c r="AC68" s="40" t="s">
        <v>0</v>
      </c>
      <c r="AD68" s="38" t="str">
        <f t="shared" si="32"/>
        <v/>
      </c>
      <c r="AE68" s="57"/>
      <c r="AF68" s="38" t="str">
        <f t="shared" si="33"/>
        <v/>
      </c>
      <c r="AG68" s="40" t="s">
        <v>0</v>
      </c>
      <c r="AH68" s="38" t="str">
        <f t="shared" si="34"/>
        <v/>
      </c>
      <c r="AJ68" s="4" t="str">
        <f t="shared" si="35"/>
        <v>Ort</v>
      </c>
    </row>
    <row r="69" spans="1:44" ht="15.75" hidden="1">
      <c r="A69" s="3" t="str">
        <f t="shared" si="36"/>
        <v/>
      </c>
      <c r="B69" s="351" t="str">
        <f t="shared" si="25"/>
        <v>Datum</v>
      </c>
      <c r="C69" s="41" t="s">
        <v>75</v>
      </c>
      <c r="D69" s="42"/>
      <c r="E69" s="3">
        <v>1</v>
      </c>
      <c r="F69" s="3" t="str">
        <f>IF(H69&lt;21,COUNTIF(H$6:H69,"&lt;21"),"")</f>
        <v/>
      </c>
      <c r="G69" s="7" t="str">
        <f t="shared" si="26"/>
        <v/>
      </c>
      <c r="H69" s="350">
        <v>21</v>
      </c>
      <c r="I69" s="30" t="s">
        <v>16</v>
      </c>
      <c r="J69" s="350">
        <v>21</v>
      </c>
      <c r="K69" s="7" t="str">
        <f t="shared" si="27"/>
        <v/>
      </c>
      <c r="L69" s="350">
        <v>21</v>
      </c>
      <c r="M69" s="7" t="str">
        <f t="shared" si="28"/>
        <v/>
      </c>
      <c r="N69" s="39"/>
      <c r="O69" s="40" t="s">
        <v>0</v>
      </c>
      <c r="P69" s="39"/>
      <c r="Q69" s="39"/>
      <c r="R69" s="40" t="s">
        <v>0</v>
      </c>
      <c r="S69" s="39"/>
      <c r="T69" s="39"/>
      <c r="U69" s="40" t="s">
        <v>0</v>
      </c>
      <c r="V69" s="39"/>
      <c r="W69" s="38"/>
      <c r="X69" s="38" t="str">
        <f t="shared" si="29"/>
        <v/>
      </c>
      <c r="Y69" s="40" t="s">
        <v>0</v>
      </c>
      <c r="Z69" s="38" t="str">
        <f t="shared" si="30"/>
        <v/>
      </c>
      <c r="AA69" s="38"/>
      <c r="AB69" s="38" t="str">
        <f t="shared" si="31"/>
        <v/>
      </c>
      <c r="AC69" s="40" t="s">
        <v>0</v>
      </c>
      <c r="AD69" s="38" t="str">
        <f t="shared" si="32"/>
        <v/>
      </c>
      <c r="AE69" s="57"/>
      <c r="AF69" s="38" t="str">
        <f t="shared" si="33"/>
        <v/>
      </c>
      <c r="AG69" s="40" t="s">
        <v>0</v>
      </c>
      <c r="AH69" s="38" t="str">
        <f t="shared" si="34"/>
        <v/>
      </c>
      <c r="AJ69" s="4" t="str">
        <f t="shared" si="35"/>
        <v>Ort</v>
      </c>
    </row>
    <row r="70" spans="1:44" ht="15.75" hidden="1">
      <c r="A70" s="3" t="str">
        <f t="shared" si="36"/>
        <v/>
      </c>
      <c r="B70" s="351" t="str">
        <f t="shared" si="25"/>
        <v>Datum</v>
      </c>
      <c r="C70" s="41" t="s">
        <v>75</v>
      </c>
      <c r="D70" s="42"/>
      <c r="E70" s="3">
        <v>1</v>
      </c>
      <c r="F70" s="3" t="str">
        <f>IF(H70&lt;21,COUNTIF(H$6:H70,"&lt;21"),"")</f>
        <v/>
      </c>
      <c r="G70" s="7" t="str">
        <f t="shared" si="26"/>
        <v/>
      </c>
      <c r="H70" s="350">
        <v>21</v>
      </c>
      <c r="I70" s="30" t="s">
        <v>16</v>
      </c>
      <c r="J70" s="350">
        <v>21</v>
      </c>
      <c r="K70" s="7" t="str">
        <f t="shared" si="27"/>
        <v/>
      </c>
      <c r="L70" s="350">
        <v>21</v>
      </c>
      <c r="M70" s="7" t="str">
        <f t="shared" si="28"/>
        <v/>
      </c>
      <c r="N70" s="39"/>
      <c r="O70" s="40" t="s">
        <v>0</v>
      </c>
      <c r="P70" s="39"/>
      <c r="Q70" s="39"/>
      <c r="R70" s="40" t="s">
        <v>0</v>
      </c>
      <c r="S70" s="39"/>
      <c r="T70" s="39"/>
      <c r="U70" s="40" t="s">
        <v>0</v>
      </c>
      <c r="V70" s="39"/>
      <c r="W70" s="38"/>
      <c r="X70" s="38" t="str">
        <f t="shared" si="29"/>
        <v/>
      </c>
      <c r="Y70" s="40" t="s">
        <v>0</v>
      </c>
      <c r="Z70" s="38" t="str">
        <f t="shared" si="30"/>
        <v/>
      </c>
      <c r="AA70" s="38"/>
      <c r="AB70" s="38" t="str">
        <f t="shared" si="31"/>
        <v/>
      </c>
      <c r="AC70" s="40" t="s">
        <v>0</v>
      </c>
      <c r="AD70" s="38" t="str">
        <f t="shared" si="32"/>
        <v/>
      </c>
      <c r="AE70" s="57"/>
      <c r="AF70" s="38" t="str">
        <f t="shared" si="33"/>
        <v/>
      </c>
      <c r="AG70" s="40" t="s">
        <v>0</v>
      </c>
      <c r="AH70" s="38" t="str">
        <f t="shared" si="34"/>
        <v/>
      </c>
      <c r="AJ70" s="4" t="str">
        <f t="shared" si="35"/>
        <v>Ort</v>
      </c>
    </row>
    <row r="71" spans="1:44" ht="15.75" hidden="1">
      <c r="A71" s="3" t="str">
        <f t="shared" si="36"/>
        <v/>
      </c>
      <c r="B71" s="351" t="str">
        <f t="shared" si="25"/>
        <v>Datum</v>
      </c>
      <c r="C71" s="41" t="s">
        <v>75</v>
      </c>
      <c r="D71" s="42"/>
      <c r="E71" s="3">
        <v>1</v>
      </c>
      <c r="F71" s="3" t="str">
        <f>IF(H71&lt;21,COUNTIF(H$6:H71,"&lt;21"),"")</f>
        <v/>
      </c>
      <c r="G71" s="7" t="str">
        <f t="shared" si="26"/>
        <v/>
      </c>
      <c r="H71" s="350">
        <v>21</v>
      </c>
      <c r="I71" s="30" t="s">
        <v>16</v>
      </c>
      <c r="J71" s="350">
        <v>21</v>
      </c>
      <c r="K71" s="7" t="str">
        <f t="shared" si="27"/>
        <v/>
      </c>
      <c r="L71" s="350">
        <v>21</v>
      </c>
      <c r="M71" s="7" t="str">
        <f t="shared" si="28"/>
        <v/>
      </c>
      <c r="N71" s="39"/>
      <c r="O71" s="40" t="s">
        <v>0</v>
      </c>
      <c r="P71" s="39"/>
      <c r="Q71" s="39"/>
      <c r="R71" s="40" t="s">
        <v>0</v>
      </c>
      <c r="S71" s="39"/>
      <c r="T71" s="39"/>
      <c r="U71" s="40" t="s">
        <v>0</v>
      </c>
      <c r="V71" s="39"/>
      <c r="W71" s="38"/>
      <c r="X71" s="38" t="str">
        <f t="shared" si="29"/>
        <v/>
      </c>
      <c r="Y71" s="40" t="s">
        <v>0</v>
      </c>
      <c r="Z71" s="38" t="str">
        <f t="shared" si="30"/>
        <v/>
      </c>
      <c r="AA71" s="38"/>
      <c r="AB71" s="38" t="str">
        <f t="shared" si="31"/>
        <v/>
      </c>
      <c r="AC71" s="40" t="s">
        <v>0</v>
      </c>
      <c r="AD71" s="38" t="str">
        <f t="shared" si="32"/>
        <v/>
      </c>
      <c r="AE71" s="57"/>
      <c r="AF71" s="38" t="str">
        <f t="shared" si="33"/>
        <v/>
      </c>
      <c r="AG71" s="40" t="s">
        <v>0</v>
      </c>
      <c r="AH71" s="38" t="str">
        <f t="shared" si="34"/>
        <v/>
      </c>
      <c r="AJ71" s="4" t="str">
        <f t="shared" si="35"/>
        <v>Ort</v>
      </c>
    </row>
    <row r="72" spans="1:44" ht="15.75" hidden="1">
      <c r="A72" s="3" t="str">
        <f t="shared" si="36"/>
        <v/>
      </c>
      <c r="B72" s="351" t="str">
        <f t="shared" si="25"/>
        <v>Datum</v>
      </c>
      <c r="C72" s="41" t="s">
        <v>75</v>
      </c>
      <c r="D72" s="42"/>
      <c r="E72" s="3">
        <v>1</v>
      </c>
      <c r="F72" s="3" t="str">
        <f>IF(H72&lt;21,COUNTIF(H$6:H72,"&lt;21"),"")</f>
        <v/>
      </c>
      <c r="G72" s="7" t="str">
        <f t="shared" si="26"/>
        <v/>
      </c>
      <c r="H72" s="350">
        <v>21</v>
      </c>
      <c r="I72" s="30" t="s">
        <v>16</v>
      </c>
      <c r="J72" s="350">
        <v>21</v>
      </c>
      <c r="K72" s="7" t="str">
        <f t="shared" si="27"/>
        <v/>
      </c>
      <c r="L72" s="350">
        <v>21</v>
      </c>
      <c r="M72" s="7" t="str">
        <f t="shared" si="28"/>
        <v/>
      </c>
      <c r="N72" s="39"/>
      <c r="O72" s="40" t="s">
        <v>0</v>
      </c>
      <c r="P72" s="39"/>
      <c r="Q72" s="39"/>
      <c r="R72" s="40" t="s">
        <v>0</v>
      </c>
      <c r="S72" s="39"/>
      <c r="T72" s="39"/>
      <c r="U72" s="40" t="s">
        <v>0</v>
      </c>
      <c r="V72" s="39"/>
      <c r="W72" s="38"/>
      <c r="X72" s="38" t="str">
        <f t="shared" si="29"/>
        <v/>
      </c>
      <c r="Y72" s="40" t="s">
        <v>0</v>
      </c>
      <c r="Z72" s="38" t="str">
        <f t="shared" si="30"/>
        <v/>
      </c>
      <c r="AA72" s="38"/>
      <c r="AB72" s="38" t="str">
        <f t="shared" si="31"/>
        <v/>
      </c>
      <c r="AC72" s="40" t="s">
        <v>0</v>
      </c>
      <c r="AD72" s="38" t="str">
        <f t="shared" si="32"/>
        <v/>
      </c>
      <c r="AE72" s="57"/>
      <c r="AF72" s="38" t="str">
        <f t="shared" si="33"/>
        <v/>
      </c>
      <c r="AG72" s="40" t="s">
        <v>0</v>
      </c>
      <c r="AH72" s="38" t="str">
        <f t="shared" si="34"/>
        <v/>
      </c>
      <c r="AJ72" s="4" t="str">
        <f t="shared" si="35"/>
        <v>Ort</v>
      </c>
    </row>
    <row r="73" spans="1:44">
      <c r="W73" s="35"/>
      <c r="X73" s="35"/>
      <c r="Y73" s="35"/>
      <c r="Z73" s="35"/>
      <c r="AE73" s="58"/>
    </row>
    <row r="74" spans="1:44">
      <c r="A74" s="151"/>
      <c r="B74" s="151"/>
      <c r="W74" s="35"/>
      <c r="X74" s="35"/>
      <c r="Y74" s="35"/>
      <c r="Z74" s="35"/>
      <c r="AE74" s="58"/>
    </row>
    <row r="75" spans="1:44" s="18" customFormat="1" ht="20.25">
      <c r="C75" s="14"/>
      <c r="D75" s="15"/>
      <c r="E75" s="15"/>
      <c r="F75" s="16" t="s">
        <v>37</v>
      </c>
      <c r="I75" s="16"/>
      <c r="J75" s="16"/>
      <c r="K75" s="354" t="s">
        <v>84</v>
      </c>
      <c r="L75" s="354"/>
      <c r="M75" s="355" t="s">
        <v>146</v>
      </c>
      <c r="N75" s="14"/>
      <c r="O75" s="14"/>
      <c r="P75" s="356" t="s">
        <v>147</v>
      </c>
      <c r="Q75" s="14"/>
      <c r="R75" s="14"/>
      <c r="S75" s="14"/>
      <c r="T75" s="14"/>
      <c r="U75" s="14"/>
      <c r="V75" s="14"/>
      <c r="W75" s="36"/>
      <c r="X75" s="36"/>
      <c r="Y75" s="36"/>
      <c r="Z75" s="36"/>
      <c r="AA75" s="36"/>
      <c r="AB75" s="36"/>
      <c r="AC75" s="36"/>
      <c r="AD75" s="36"/>
      <c r="AE75" s="55"/>
      <c r="AF75" s="36"/>
      <c r="AG75" s="36"/>
      <c r="AH75" s="36"/>
      <c r="AM75" s="4"/>
      <c r="AN75" s="4"/>
    </row>
    <row r="76" spans="1:44" s="31" customFormat="1" ht="21" thickBot="1">
      <c r="A76" s="149" t="s">
        <v>13</v>
      </c>
      <c r="B76" s="21" t="s">
        <v>84</v>
      </c>
      <c r="C76" s="357" t="s">
        <v>8</v>
      </c>
      <c r="D76" s="358" t="s">
        <v>4</v>
      </c>
      <c r="E76" s="358" t="s">
        <v>3</v>
      </c>
      <c r="F76" s="358" t="s">
        <v>13</v>
      </c>
      <c r="G76" s="28" t="s">
        <v>7</v>
      </c>
      <c r="H76" s="345" t="s">
        <v>24</v>
      </c>
      <c r="I76" s="29"/>
      <c r="J76" s="346" t="s">
        <v>25</v>
      </c>
      <c r="K76" s="28" t="s">
        <v>6</v>
      </c>
      <c r="L76" s="345" t="s">
        <v>76</v>
      </c>
      <c r="M76" s="29" t="s">
        <v>5</v>
      </c>
      <c r="N76" s="484" t="s">
        <v>29</v>
      </c>
      <c r="O76" s="484"/>
      <c r="P76" s="484"/>
      <c r="Q76" s="484" t="s">
        <v>30</v>
      </c>
      <c r="R76" s="484"/>
      <c r="S76" s="484"/>
      <c r="T76" s="484" t="s">
        <v>31</v>
      </c>
      <c r="U76" s="484"/>
      <c r="V76" s="484"/>
      <c r="W76" s="37"/>
      <c r="X76" s="483" t="s">
        <v>2</v>
      </c>
      <c r="Y76" s="483"/>
      <c r="Z76" s="483"/>
      <c r="AA76" s="37"/>
      <c r="AB76" s="483" t="s">
        <v>32</v>
      </c>
      <c r="AC76" s="483"/>
      <c r="AD76" s="483"/>
      <c r="AE76" s="359"/>
      <c r="AF76" s="483" t="s">
        <v>28</v>
      </c>
      <c r="AG76" s="483"/>
      <c r="AH76" s="483"/>
      <c r="AM76" s="18"/>
      <c r="AN76" s="18"/>
    </row>
    <row r="77" spans="1:44" ht="15.75">
      <c r="A77" s="3">
        <f>F77</f>
        <v>28</v>
      </c>
      <c r="B77" s="462" t="str">
        <f>K$75</f>
        <v>Datum</v>
      </c>
      <c r="C77" s="459">
        <v>0.39583333333333331</v>
      </c>
      <c r="D77" s="427">
        <v>1</v>
      </c>
      <c r="E77" s="428">
        <v>1</v>
      </c>
      <c r="F77" s="428">
        <f>IF(H77&lt;21,COUNTIF(H$6:H77,"&lt;21"),"")</f>
        <v>28</v>
      </c>
      <c r="G77" s="429" t="str">
        <f t="shared" ref="G77:G101" si="37">IF(H77=21,"",INDEX($AM$7:$AN$22,H77,2))</f>
        <v>Team 3</v>
      </c>
      <c r="H77" s="463">
        <v>3</v>
      </c>
      <c r="I77" s="431" t="s">
        <v>16</v>
      </c>
      <c r="J77" s="463">
        <v>5</v>
      </c>
      <c r="K77" s="429" t="str">
        <f t="shared" ref="K77:K101" si="38">IF(J77=21,"",INDEX($AM$7:$AN$22,J77,2))</f>
        <v>Team 5</v>
      </c>
      <c r="L77" s="463">
        <v>7</v>
      </c>
      <c r="M77" s="429" t="str">
        <f t="shared" ref="M77:M101" si="39">IF(L77=21,"",INDEX($AM$7:$AN$22,L77,2))</f>
        <v>Team 7</v>
      </c>
      <c r="N77" s="432"/>
      <c r="O77" s="433" t="s">
        <v>0</v>
      </c>
      <c r="P77" s="432"/>
      <c r="Q77" s="432"/>
      <c r="R77" s="433" t="s">
        <v>0</v>
      </c>
      <c r="S77" s="432"/>
      <c r="T77" s="432"/>
      <c r="U77" s="433" t="s">
        <v>0</v>
      </c>
      <c r="V77" s="432"/>
      <c r="W77" s="434"/>
      <c r="X77" s="434" t="str">
        <f t="shared" ref="X77:X101" si="40">IF(N77+P77&gt;0,IF(AB77&gt;0,IF(AB77&gt;AD77,2,IF(AB77&lt;AD77,0,1)),0),"")</f>
        <v/>
      </c>
      <c r="Y77" s="433" t="s">
        <v>0</v>
      </c>
      <c r="Z77" s="434" t="str">
        <f t="shared" ref="Z77:Z101" si="41">IF(N77+P77&gt;0,IF(AD77&gt;0,IF(AD77&gt;AB77,2,IF(AD77&lt;AB77,0,1)),0),"")</f>
        <v/>
      </c>
      <c r="AA77" s="434"/>
      <c r="AB77" s="434" t="str">
        <f t="shared" ref="AB77:AB101" si="42">IF(N77+P77&gt;0,IF(N77&gt;P77,1,0)+IF(Q77&gt;S77,1,0)+IF(T77&gt;V77,1,0),"")</f>
        <v/>
      </c>
      <c r="AC77" s="433" t="s">
        <v>0</v>
      </c>
      <c r="AD77" s="434" t="str">
        <f t="shared" ref="AD77:AD101" si="43">IF(N77+P77&gt;0,IF(N77&lt;P77,1,0)+IF(Q77&lt;S77,1,0)+IF(T77&lt;V77,1,0),"")</f>
        <v/>
      </c>
      <c r="AE77" s="435"/>
      <c r="AF77" s="434" t="str">
        <f t="shared" ref="AF77:AF101" si="44">IF(N77+P77&gt;0,N77+Q77+T77,"")</f>
        <v/>
      </c>
      <c r="AG77" s="433" t="s">
        <v>0</v>
      </c>
      <c r="AH77" s="436" t="str">
        <f t="shared" ref="AH77:AH101" si="45">IF(N77+P77&gt;0,P77+S77+V77,"")</f>
        <v/>
      </c>
      <c r="AJ77" s="4" t="str">
        <f>M$75</f>
        <v>Ort</v>
      </c>
      <c r="AM77" s="31"/>
      <c r="AN77" s="31"/>
      <c r="AQ77" s="4" t="s">
        <v>145</v>
      </c>
      <c r="AR77" s="4" t="str">
        <f>Platzierung!T27</f>
        <v>Team 7</v>
      </c>
    </row>
    <row r="78" spans="1:44" ht="15.75">
      <c r="A78" s="3">
        <f t="shared" ref="A78:A101" si="46">F78</f>
        <v>29</v>
      </c>
      <c r="B78" s="462" t="str">
        <f t="shared" ref="B78:B101" si="47">K$75</f>
        <v>Datum</v>
      </c>
      <c r="C78" s="437" t="s">
        <v>75</v>
      </c>
      <c r="D78" s="438">
        <v>2</v>
      </c>
      <c r="E78" s="439">
        <v>1</v>
      </c>
      <c r="F78" s="439">
        <f>IF(H78&lt;21,COUNTIF(H$6:H78,"&lt;21"),"")</f>
        <v>29</v>
      </c>
      <c r="G78" s="440" t="str">
        <f t="shared" si="37"/>
        <v>Team 5</v>
      </c>
      <c r="H78" s="460">
        <v>5</v>
      </c>
      <c r="I78" s="442" t="s">
        <v>16</v>
      </c>
      <c r="J78" s="460">
        <v>7</v>
      </c>
      <c r="K78" s="440" t="str">
        <f t="shared" si="38"/>
        <v>Team 7</v>
      </c>
      <c r="L78" s="460">
        <v>3</v>
      </c>
      <c r="M78" s="440" t="str">
        <f t="shared" si="39"/>
        <v>Team 3</v>
      </c>
      <c r="N78" s="443"/>
      <c r="O78" s="444" t="s">
        <v>0</v>
      </c>
      <c r="P78" s="443"/>
      <c r="Q78" s="443"/>
      <c r="R78" s="444" t="s">
        <v>0</v>
      </c>
      <c r="S78" s="443"/>
      <c r="T78" s="443"/>
      <c r="U78" s="444" t="s">
        <v>0</v>
      </c>
      <c r="V78" s="443"/>
      <c r="W78" s="445"/>
      <c r="X78" s="445" t="str">
        <f t="shared" si="40"/>
        <v/>
      </c>
      <c r="Y78" s="444" t="s">
        <v>0</v>
      </c>
      <c r="Z78" s="445" t="str">
        <f t="shared" si="41"/>
        <v/>
      </c>
      <c r="AA78" s="445"/>
      <c r="AB78" s="445" t="str">
        <f t="shared" si="42"/>
        <v/>
      </c>
      <c r="AC78" s="444" t="s">
        <v>0</v>
      </c>
      <c r="AD78" s="445" t="str">
        <f t="shared" si="43"/>
        <v/>
      </c>
      <c r="AE78" s="446"/>
      <c r="AF78" s="445" t="str">
        <f t="shared" si="44"/>
        <v/>
      </c>
      <c r="AG78" s="444" t="s">
        <v>0</v>
      </c>
      <c r="AH78" s="447" t="str">
        <f t="shared" si="45"/>
        <v/>
      </c>
      <c r="AJ78" s="4" t="str">
        <f t="shared" ref="AJ78:AJ101" si="48">M$75</f>
        <v>Ort</v>
      </c>
      <c r="AQ78" s="4" t="s">
        <v>145</v>
      </c>
      <c r="AR78" s="4" t="str">
        <f>Platzierung!T28</f>
        <v>Team 8</v>
      </c>
    </row>
    <row r="79" spans="1:44" ht="16.5" thickBot="1">
      <c r="A79" s="3">
        <f t="shared" si="46"/>
        <v>30</v>
      </c>
      <c r="B79" s="462" t="str">
        <f t="shared" si="47"/>
        <v>Datum</v>
      </c>
      <c r="C79" s="448" t="s">
        <v>75</v>
      </c>
      <c r="D79" s="449">
        <v>3</v>
      </c>
      <c r="E79" s="450">
        <v>1</v>
      </c>
      <c r="F79" s="450">
        <f>IF(H79&lt;21,COUNTIF(H$6:H79,"&lt;21"),"")</f>
        <v>30</v>
      </c>
      <c r="G79" s="451" t="str">
        <f t="shared" si="37"/>
        <v>Team 7</v>
      </c>
      <c r="H79" s="452">
        <v>7</v>
      </c>
      <c r="I79" s="453" t="s">
        <v>16</v>
      </c>
      <c r="J79" s="452">
        <v>3</v>
      </c>
      <c r="K79" s="451" t="str">
        <f t="shared" si="38"/>
        <v>Team 3</v>
      </c>
      <c r="L79" s="452">
        <v>5</v>
      </c>
      <c r="M79" s="451" t="str">
        <f t="shared" si="39"/>
        <v>Team 5</v>
      </c>
      <c r="N79" s="454"/>
      <c r="O79" s="455" t="s">
        <v>0</v>
      </c>
      <c r="P79" s="454"/>
      <c r="Q79" s="454"/>
      <c r="R79" s="455" t="s">
        <v>0</v>
      </c>
      <c r="S79" s="454"/>
      <c r="T79" s="454"/>
      <c r="U79" s="455" t="s">
        <v>0</v>
      </c>
      <c r="V79" s="454"/>
      <c r="W79" s="456"/>
      <c r="X79" s="456" t="str">
        <f t="shared" si="40"/>
        <v/>
      </c>
      <c r="Y79" s="455" t="s">
        <v>0</v>
      </c>
      <c r="Z79" s="456" t="str">
        <f t="shared" si="41"/>
        <v/>
      </c>
      <c r="AA79" s="456"/>
      <c r="AB79" s="456" t="str">
        <f t="shared" si="42"/>
        <v/>
      </c>
      <c r="AC79" s="455" t="s">
        <v>0</v>
      </c>
      <c r="AD79" s="456" t="str">
        <f t="shared" si="43"/>
        <v/>
      </c>
      <c r="AE79" s="457"/>
      <c r="AF79" s="456" t="str">
        <f t="shared" si="44"/>
        <v/>
      </c>
      <c r="AG79" s="455" t="s">
        <v>0</v>
      </c>
      <c r="AH79" s="458" t="str">
        <f t="shared" si="45"/>
        <v/>
      </c>
      <c r="AJ79" s="4" t="str">
        <f t="shared" si="48"/>
        <v>Ort</v>
      </c>
    </row>
    <row r="80" spans="1:44" ht="15.75">
      <c r="A80" s="3">
        <f t="shared" si="46"/>
        <v>31</v>
      </c>
      <c r="B80" s="462" t="str">
        <f t="shared" si="47"/>
        <v>Datum</v>
      </c>
      <c r="C80" s="393">
        <v>0.5</v>
      </c>
      <c r="D80" s="394">
        <v>4</v>
      </c>
      <c r="E80" s="395">
        <v>1</v>
      </c>
      <c r="F80" s="395">
        <f>IF(H80&lt;21,COUNTIF(H$6:H80,"&lt;21"),"")</f>
        <v>31</v>
      </c>
      <c r="G80" s="396" t="str">
        <f t="shared" si="37"/>
        <v>Team 1</v>
      </c>
      <c r="H80" s="465">
        <v>1</v>
      </c>
      <c r="I80" s="398" t="s">
        <v>16</v>
      </c>
      <c r="J80" s="465">
        <v>6</v>
      </c>
      <c r="K80" s="396" t="str">
        <f t="shared" si="38"/>
        <v>Team 6</v>
      </c>
      <c r="L80" s="465">
        <v>8</v>
      </c>
      <c r="M80" s="396" t="str">
        <f t="shared" si="39"/>
        <v>Team 8</v>
      </c>
      <c r="N80" s="399"/>
      <c r="O80" s="400" t="s">
        <v>0</v>
      </c>
      <c r="P80" s="399"/>
      <c r="Q80" s="399"/>
      <c r="R80" s="400" t="s">
        <v>0</v>
      </c>
      <c r="S80" s="399"/>
      <c r="T80" s="399"/>
      <c r="U80" s="400" t="s">
        <v>0</v>
      </c>
      <c r="V80" s="399"/>
      <c r="W80" s="401"/>
      <c r="X80" s="401" t="str">
        <f t="shared" si="40"/>
        <v/>
      </c>
      <c r="Y80" s="400" t="s">
        <v>0</v>
      </c>
      <c r="Z80" s="401" t="str">
        <f t="shared" si="41"/>
        <v/>
      </c>
      <c r="AA80" s="401"/>
      <c r="AB80" s="401" t="str">
        <f t="shared" si="42"/>
        <v/>
      </c>
      <c r="AC80" s="400" t="s">
        <v>0</v>
      </c>
      <c r="AD80" s="401" t="str">
        <f t="shared" si="43"/>
        <v/>
      </c>
      <c r="AE80" s="402"/>
      <c r="AF80" s="401" t="str">
        <f t="shared" si="44"/>
        <v/>
      </c>
      <c r="AG80" s="400" t="s">
        <v>0</v>
      </c>
      <c r="AH80" s="403" t="str">
        <f t="shared" si="45"/>
        <v/>
      </c>
      <c r="AJ80" s="4" t="str">
        <f t="shared" si="48"/>
        <v>Ort</v>
      </c>
    </row>
    <row r="81" spans="1:40" ht="15.75">
      <c r="A81" s="3">
        <f t="shared" si="46"/>
        <v>32</v>
      </c>
      <c r="B81" s="462" t="str">
        <f t="shared" si="47"/>
        <v>Datum</v>
      </c>
      <c r="C81" s="404" t="s">
        <v>75</v>
      </c>
      <c r="D81" s="405">
        <v>5</v>
      </c>
      <c r="E81" s="406">
        <v>1</v>
      </c>
      <c r="F81" s="406">
        <f>IF(H81&lt;21,COUNTIF(H$6:H81,"&lt;21"),"")</f>
        <v>32</v>
      </c>
      <c r="G81" s="407" t="str">
        <f t="shared" si="37"/>
        <v>Team 6</v>
      </c>
      <c r="H81" s="466">
        <v>6</v>
      </c>
      <c r="I81" s="409" t="s">
        <v>16</v>
      </c>
      <c r="J81" s="466">
        <v>8</v>
      </c>
      <c r="K81" s="407" t="str">
        <f t="shared" si="38"/>
        <v>Team 8</v>
      </c>
      <c r="L81" s="466">
        <v>1</v>
      </c>
      <c r="M81" s="407" t="str">
        <f t="shared" si="39"/>
        <v>Team 1</v>
      </c>
      <c r="N81" s="410"/>
      <c r="O81" s="411" t="s">
        <v>0</v>
      </c>
      <c r="P81" s="410"/>
      <c r="Q81" s="410"/>
      <c r="R81" s="411" t="s">
        <v>0</v>
      </c>
      <c r="S81" s="410"/>
      <c r="T81" s="410"/>
      <c r="U81" s="411" t="s">
        <v>0</v>
      </c>
      <c r="V81" s="410"/>
      <c r="W81" s="412"/>
      <c r="X81" s="412" t="str">
        <f t="shared" si="40"/>
        <v/>
      </c>
      <c r="Y81" s="411" t="s">
        <v>0</v>
      </c>
      <c r="Z81" s="412" t="str">
        <f t="shared" si="41"/>
        <v/>
      </c>
      <c r="AA81" s="412"/>
      <c r="AB81" s="412" t="str">
        <f t="shared" si="42"/>
        <v/>
      </c>
      <c r="AC81" s="411" t="s">
        <v>0</v>
      </c>
      <c r="AD81" s="412" t="str">
        <f t="shared" si="43"/>
        <v/>
      </c>
      <c r="AE81" s="413"/>
      <c r="AF81" s="412" t="str">
        <f t="shared" si="44"/>
        <v/>
      </c>
      <c r="AG81" s="411" t="s">
        <v>0</v>
      </c>
      <c r="AH81" s="414" t="str">
        <f t="shared" si="45"/>
        <v/>
      </c>
      <c r="AJ81" s="4" t="str">
        <f t="shared" si="48"/>
        <v>Ort</v>
      </c>
    </row>
    <row r="82" spans="1:40" ht="16.5" thickBot="1">
      <c r="A82" s="3">
        <f t="shared" si="46"/>
        <v>33</v>
      </c>
      <c r="B82" s="462" t="str">
        <f t="shared" si="47"/>
        <v>Datum</v>
      </c>
      <c r="C82" s="415" t="s">
        <v>75</v>
      </c>
      <c r="D82" s="416">
        <v>6</v>
      </c>
      <c r="E82" s="417">
        <v>1</v>
      </c>
      <c r="F82" s="417">
        <f>IF(H82&lt;21,COUNTIF(H$6:H82,"&lt;21"),"")</f>
        <v>33</v>
      </c>
      <c r="G82" s="418" t="str">
        <f t="shared" si="37"/>
        <v>Team 8</v>
      </c>
      <c r="H82" s="419">
        <v>8</v>
      </c>
      <c r="I82" s="420" t="s">
        <v>16</v>
      </c>
      <c r="J82" s="419">
        <v>1</v>
      </c>
      <c r="K82" s="418" t="str">
        <f t="shared" si="38"/>
        <v>Team 1</v>
      </c>
      <c r="L82" s="419">
        <v>6</v>
      </c>
      <c r="M82" s="418" t="str">
        <f t="shared" si="39"/>
        <v>Team 6</v>
      </c>
      <c r="N82" s="421"/>
      <c r="O82" s="422" t="s">
        <v>0</v>
      </c>
      <c r="P82" s="421"/>
      <c r="Q82" s="421"/>
      <c r="R82" s="422" t="s">
        <v>0</v>
      </c>
      <c r="S82" s="421"/>
      <c r="T82" s="421"/>
      <c r="U82" s="422" t="s">
        <v>0</v>
      </c>
      <c r="V82" s="421"/>
      <c r="W82" s="423"/>
      <c r="X82" s="423" t="str">
        <f t="shared" si="40"/>
        <v/>
      </c>
      <c r="Y82" s="422" t="s">
        <v>0</v>
      </c>
      <c r="Z82" s="423" t="str">
        <f t="shared" si="41"/>
        <v/>
      </c>
      <c r="AA82" s="423"/>
      <c r="AB82" s="423" t="str">
        <f t="shared" si="42"/>
        <v/>
      </c>
      <c r="AC82" s="422" t="s">
        <v>0</v>
      </c>
      <c r="AD82" s="423" t="str">
        <f t="shared" si="43"/>
        <v/>
      </c>
      <c r="AE82" s="424"/>
      <c r="AF82" s="423" t="str">
        <f t="shared" si="44"/>
        <v/>
      </c>
      <c r="AG82" s="422" t="s">
        <v>0</v>
      </c>
      <c r="AH82" s="425" t="str">
        <f t="shared" si="45"/>
        <v/>
      </c>
      <c r="AJ82" s="4" t="str">
        <f t="shared" si="48"/>
        <v>Ort</v>
      </c>
    </row>
    <row r="83" spans="1:40" ht="15.75">
      <c r="A83" s="3">
        <f t="shared" si="46"/>
        <v>34</v>
      </c>
      <c r="B83" s="462" t="str">
        <f t="shared" si="47"/>
        <v>Datum</v>
      </c>
      <c r="C83" s="360">
        <v>0.60416666666666663</v>
      </c>
      <c r="D83" s="361">
        <v>7</v>
      </c>
      <c r="E83" s="362">
        <v>1</v>
      </c>
      <c r="F83" s="362">
        <f>IF(H83&lt;21,COUNTIF(H$6:H83,"&lt;21"),"")</f>
        <v>34</v>
      </c>
      <c r="G83" s="363" t="str">
        <f t="shared" si="37"/>
        <v>Team 2</v>
      </c>
      <c r="H83" s="464">
        <v>2</v>
      </c>
      <c r="I83" s="365" t="s">
        <v>16</v>
      </c>
      <c r="J83" s="464">
        <v>4</v>
      </c>
      <c r="K83" s="363" t="str">
        <f t="shared" si="38"/>
        <v>Team 4</v>
      </c>
      <c r="L83" s="464">
        <v>9</v>
      </c>
      <c r="M83" s="363" t="e">
        <f t="shared" si="39"/>
        <v>#REF!</v>
      </c>
      <c r="N83" s="366"/>
      <c r="O83" s="367" t="s">
        <v>0</v>
      </c>
      <c r="P83" s="366"/>
      <c r="Q83" s="366"/>
      <c r="R83" s="367" t="s">
        <v>0</v>
      </c>
      <c r="S83" s="366"/>
      <c r="T83" s="366"/>
      <c r="U83" s="367" t="s">
        <v>0</v>
      </c>
      <c r="V83" s="366"/>
      <c r="W83" s="368"/>
      <c r="X83" s="368" t="str">
        <f t="shared" si="40"/>
        <v/>
      </c>
      <c r="Y83" s="367" t="s">
        <v>0</v>
      </c>
      <c r="Z83" s="368" t="str">
        <f t="shared" si="41"/>
        <v/>
      </c>
      <c r="AA83" s="368"/>
      <c r="AB83" s="368" t="str">
        <f t="shared" si="42"/>
        <v/>
      </c>
      <c r="AC83" s="367" t="s">
        <v>0</v>
      </c>
      <c r="AD83" s="368" t="str">
        <f t="shared" si="43"/>
        <v/>
      </c>
      <c r="AE83" s="369"/>
      <c r="AF83" s="368" t="str">
        <f t="shared" si="44"/>
        <v/>
      </c>
      <c r="AG83" s="367" t="s">
        <v>0</v>
      </c>
      <c r="AH83" s="370" t="str">
        <f t="shared" si="45"/>
        <v/>
      </c>
      <c r="AJ83" s="4" t="str">
        <f t="shared" si="48"/>
        <v>Ort</v>
      </c>
    </row>
    <row r="84" spans="1:40" ht="15.75">
      <c r="A84" s="3">
        <f t="shared" si="46"/>
        <v>35</v>
      </c>
      <c r="B84" s="462" t="str">
        <f t="shared" si="47"/>
        <v>Datum</v>
      </c>
      <c r="C84" s="371" t="s">
        <v>75</v>
      </c>
      <c r="D84" s="372">
        <v>8</v>
      </c>
      <c r="E84" s="373">
        <v>1</v>
      </c>
      <c r="F84" s="373">
        <f>IF(H84&lt;21,COUNTIF(H$6:H84,"&lt;21"),"")</f>
        <v>35</v>
      </c>
      <c r="G84" s="374" t="str">
        <f t="shared" si="37"/>
        <v>Team 4</v>
      </c>
      <c r="H84" s="461">
        <v>4</v>
      </c>
      <c r="I84" s="376" t="s">
        <v>16</v>
      </c>
      <c r="J84" s="461">
        <v>9</v>
      </c>
      <c r="K84" s="374" t="e">
        <f t="shared" si="38"/>
        <v>#REF!</v>
      </c>
      <c r="L84" s="461">
        <v>2</v>
      </c>
      <c r="M84" s="374" t="str">
        <f t="shared" si="39"/>
        <v>Team 2</v>
      </c>
      <c r="N84" s="377"/>
      <c r="O84" s="378" t="s">
        <v>0</v>
      </c>
      <c r="P84" s="377"/>
      <c r="Q84" s="377"/>
      <c r="R84" s="378" t="s">
        <v>0</v>
      </c>
      <c r="S84" s="377"/>
      <c r="T84" s="377"/>
      <c r="U84" s="378" t="s">
        <v>0</v>
      </c>
      <c r="V84" s="377"/>
      <c r="W84" s="379"/>
      <c r="X84" s="379" t="str">
        <f t="shared" si="40"/>
        <v/>
      </c>
      <c r="Y84" s="378" t="s">
        <v>0</v>
      </c>
      <c r="Z84" s="379" t="str">
        <f t="shared" si="41"/>
        <v/>
      </c>
      <c r="AA84" s="379"/>
      <c r="AB84" s="379" t="str">
        <f t="shared" si="42"/>
        <v/>
      </c>
      <c r="AC84" s="378" t="s">
        <v>0</v>
      </c>
      <c r="AD84" s="379" t="str">
        <f t="shared" si="43"/>
        <v/>
      </c>
      <c r="AE84" s="380"/>
      <c r="AF84" s="379" t="str">
        <f t="shared" si="44"/>
        <v/>
      </c>
      <c r="AG84" s="378" t="s">
        <v>0</v>
      </c>
      <c r="AH84" s="381" t="str">
        <f t="shared" si="45"/>
        <v/>
      </c>
      <c r="AJ84" s="4" t="str">
        <f t="shared" si="48"/>
        <v>Ort</v>
      </c>
    </row>
    <row r="85" spans="1:40" ht="16.5" thickBot="1">
      <c r="A85" s="3">
        <f t="shared" si="46"/>
        <v>36</v>
      </c>
      <c r="B85" s="462" t="str">
        <f t="shared" si="47"/>
        <v>Datum</v>
      </c>
      <c r="C85" s="382" t="s">
        <v>75</v>
      </c>
      <c r="D85" s="383">
        <v>9</v>
      </c>
      <c r="E85" s="384">
        <v>1</v>
      </c>
      <c r="F85" s="384">
        <f>IF(H85&lt;21,COUNTIF(H$6:H85,"&lt;21"),"")</f>
        <v>36</v>
      </c>
      <c r="G85" s="385" t="e">
        <f t="shared" si="37"/>
        <v>#REF!</v>
      </c>
      <c r="H85" s="386">
        <v>9</v>
      </c>
      <c r="I85" s="387" t="s">
        <v>16</v>
      </c>
      <c r="J85" s="386">
        <v>2</v>
      </c>
      <c r="K85" s="385" t="str">
        <f t="shared" si="38"/>
        <v>Team 2</v>
      </c>
      <c r="L85" s="386">
        <v>4</v>
      </c>
      <c r="M85" s="385" t="str">
        <f t="shared" si="39"/>
        <v>Team 4</v>
      </c>
      <c r="N85" s="388"/>
      <c r="O85" s="389" t="s">
        <v>0</v>
      </c>
      <c r="P85" s="388"/>
      <c r="Q85" s="388"/>
      <c r="R85" s="389" t="s">
        <v>0</v>
      </c>
      <c r="S85" s="388"/>
      <c r="T85" s="388"/>
      <c r="U85" s="389" t="s">
        <v>0</v>
      </c>
      <c r="V85" s="388"/>
      <c r="W85" s="390"/>
      <c r="X85" s="390" t="str">
        <f t="shared" si="40"/>
        <v/>
      </c>
      <c r="Y85" s="389" t="s">
        <v>0</v>
      </c>
      <c r="Z85" s="390" t="str">
        <f t="shared" si="41"/>
        <v/>
      </c>
      <c r="AA85" s="390"/>
      <c r="AB85" s="390" t="str">
        <f t="shared" si="42"/>
        <v/>
      </c>
      <c r="AC85" s="389" t="s">
        <v>0</v>
      </c>
      <c r="AD85" s="390" t="str">
        <f t="shared" si="43"/>
        <v/>
      </c>
      <c r="AE85" s="391"/>
      <c r="AF85" s="390" t="str">
        <f t="shared" si="44"/>
        <v/>
      </c>
      <c r="AG85" s="389" t="s">
        <v>0</v>
      </c>
      <c r="AH85" s="392" t="str">
        <f t="shared" si="45"/>
        <v/>
      </c>
      <c r="AJ85" s="4" t="str">
        <f t="shared" si="48"/>
        <v>Ort</v>
      </c>
    </row>
    <row r="86" spans="1:40" s="31" customFormat="1" ht="15.75" hidden="1">
      <c r="A86" s="3" t="str">
        <f t="shared" si="46"/>
        <v/>
      </c>
      <c r="B86" s="351" t="str">
        <f t="shared" si="47"/>
        <v>Datum</v>
      </c>
      <c r="C86" s="41" t="s">
        <v>75</v>
      </c>
      <c r="D86" s="42"/>
      <c r="E86" s="3">
        <v>1</v>
      </c>
      <c r="F86" s="3" t="str">
        <f>IF(H86&lt;21,COUNTIF(H$6:H86,"&lt;21"),"")</f>
        <v/>
      </c>
      <c r="G86" s="7" t="str">
        <f t="shared" si="37"/>
        <v/>
      </c>
      <c r="H86" s="350">
        <v>21</v>
      </c>
      <c r="I86" s="30" t="s">
        <v>16</v>
      </c>
      <c r="J86" s="350">
        <v>21</v>
      </c>
      <c r="K86" s="7" t="str">
        <f t="shared" si="38"/>
        <v/>
      </c>
      <c r="L86" s="350">
        <v>21</v>
      </c>
      <c r="M86" s="7" t="str">
        <f t="shared" si="39"/>
        <v/>
      </c>
      <c r="N86" s="39"/>
      <c r="O86" s="40" t="s">
        <v>0</v>
      </c>
      <c r="P86" s="39"/>
      <c r="Q86" s="39"/>
      <c r="R86" s="40" t="s">
        <v>0</v>
      </c>
      <c r="S86" s="39"/>
      <c r="T86" s="39"/>
      <c r="U86" s="40" t="s">
        <v>0</v>
      </c>
      <c r="V86" s="39"/>
      <c r="W86" s="38"/>
      <c r="X86" s="38" t="str">
        <f t="shared" si="40"/>
        <v/>
      </c>
      <c r="Y86" s="40" t="s">
        <v>0</v>
      </c>
      <c r="Z86" s="38" t="str">
        <f t="shared" si="41"/>
        <v/>
      </c>
      <c r="AA86" s="38"/>
      <c r="AB86" s="38" t="str">
        <f t="shared" si="42"/>
        <v/>
      </c>
      <c r="AC86" s="40" t="s">
        <v>0</v>
      </c>
      <c r="AD86" s="38" t="str">
        <f t="shared" si="43"/>
        <v/>
      </c>
      <c r="AE86" s="57"/>
      <c r="AF86" s="38" t="str">
        <f t="shared" si="44"/>
        <v/>
      </c>
      <c r="AG86" s="40" t="s">
        <v>0</v>
      </c>
      <c r="AH86" s="38" t="str">
        <f t="shared" si="45"/>
        <v/>
      </c>
      <c r="AJ86" s="4" t="str">
        <f t="shared" si="48"/>
        <v>Ort</v>
      </c>
    </row>
    <row r="87" spans="1:40" ht="15.75" hidden="1">
      <c r="A87" s="3" t="str">
        <f t="shared" si="46"/>
        <v/>
      </c>
      <c r="B87" s="351" t="str">
        <f t="shared" si="47"/>
        <v>Datum</v>
      </c>
      <c r="C87" s="41" t="s">
        <v>75</v>
      </c>
      <c r="D87" s="42"/>
      <c r="E87" s="3">
        <v>1</v>
      </c>
      <c r="F87" s="3" t="str">
        <f>IF(H87&lt;21,COUNTIF(H$6:H87,"&lt;21"),"")</f>
        <v/>
      </c>
      <c r="G87" s="7" t="str">
        <f t="shared" si="37"/>
        <v/>
      </c>
      <c r="H87" s="350">
        <v>21</v>
      </c>
      <c r="I87" s="30" t="s">
        <v>16</v>
      </c>
      <c r="J87" s="350">
        <v>21</v>
      </c>
      <c r="K87" s="7" t="str">
        <f t="shared" si="38"/>
        <v/>
      </c>
      <c r="L87" s="350">
        <v>21</v>
      </c>
      <c r="M87" s="7" t="str">
        <f t="shared" si="39"/>
        <v/>
      </c>
      <c r="N87" s="39"/>
      <c r="O87" s="40" t="s">
        <v>0</v>
      </c>
      <c r="P87" s="39"/>
      <c r="Q87" s="39"/>
      <c r="R87" s="40" t="s">
        <v>0</v>
      </c>
      <c r="S87" s="39"/>
      <c r="T87" s="39"/>
      <c r="U87" s="40" t="s">
        <v>0</v>
      </c>
      <c r="V87" s="39"/>
      <c r="W87" s="38"/>
      <c r="X87" s="38" t="str">
        <f t="shared" si="40"/>
        <v/>
      </c>
      <c r="Y87" s="40" t="s">
        <v>0</v>
      </c>
      <c r="Z87" s="38" t="str">
        <f t="shared" si="41"/>
        <v/>
      </c>
      <c r="AA87" s="38"/>
      <c r="AB87" s="38" t="str">
        <f t="shared" si="42"/>
        <v/>
      </c>
      <c r="AC87" s="40" t="s">
        <v>0</v>
      </c>
      <c r="AD87" s="38" t="str">
        <f t="shared" si="43"/>
        <v/>
      </c>
      <c r="AE87" s="57"/>
      <c r="AF87" s="38" t="str">
        <f t="shared" si="44"/>
        <v/>
      </c>
      <c r="AG87" s="40" t="s">
        <v>0</v>
      </c>
      <c r="AH87" s="38" t="str">
        <f t="shared" si="45"/>
        <v/>
      </c>
      <c r="AJ87" s="4" t="str">
        <f t="shared" si="48"/>
        <v>Ort</v>
      </c>
      <c r="AM87" s="31"/>
      <c r="AN87" s="31"/>
    </row>
    <row r="88" spans="1:40" ht="15.75" hidden="1">
      <c r="A88" s="3" t="str">
        <f t="shared" si="46"/>
        <v/>
      </c>
      <c r="B88" s="351" t="str">
        <f t="shared" si="47"/>
        <v>Datum</v>
      </c>
      <c r="C88" s="41" t="s">
        <v>75</v>
      </c>
      <c r="D88" s="42"/>
      <c r="E88" s="3">
        <v>1</v>
      </c>
      <c r="F88" s="3" t="str">
        <f>IF(H88&lt;21,COUNTIF(H$6:H88,"&lt;21"),"")</f>
        <v/>
      </c>
      <c r="G88" s="7" t="str">
        <f t="shared" si="37"/>
        <v/>
      </c>
      <c r="H88" s="350">
        <v>21</v>
      </c>
      <c r="I88" s="30" t="s">
        <v>16</v>
      </c>
      <c r="J88" s="350">
        <v>21</v>
      </c>
      <c r="K88" s="7" t="str">
        <f t="shared" si="38"/>
        <v/>
      </c>
      <c r="L88" s="350">
        <v>21</v>
      </c>
      <c r="M88" s="7" t="str">
        <f t="shared" si="39"/>
        <v/>
      </c>
      <c r="N88" s="39"/>
      <c r="O88" s="40" t="s">
        <v>0</v>
      </c>
      <c r="P88" s="39"/>
      <c r="Q88" s="39"/>
      <c r="R88" s="40" t="s">
        <v>0</v>
      </c>
      <c r="S88" s="39"/>
      <c r="T88" s="39"/>
      <c r="U88" s="40" t="s">
        <v>0</v>
      </c>
      <c r="V88" s="39"/>
      <c r="W88" s="38"/>
      <c r="X88" s="38" t="str">
        <f t="shared" si="40"/>
        <v/>
      </c>
      <c r="Y88" s="40" t="s">
        <v>0</v>
      </c>
      <c r="Z88" s="38" t="str">
        <f t="shared" si="41"/>
        <v/>
      </c>
      <c r="AA88" s="38"/>
      <c r="AB88" s="38" t="str">
        <f t="shared" si="42"/>
        <v/>
      </c>
      <c r="AC88" s="40" t="s">
        <v>0</v>
      </c>
      <c r="AD88" s="38" t="str">
        <f t="shared" si="43"/>
        <v/>
      </c>
      <c r="AE88" s="57"/>
      <c r="AF88" s="38" t="str">
        <f t="shared" si="44"/>
        <v/>
      </c>
      <c r="AG88" s="40" t="s">
        <v>0</v>
      </c>
      <c r="AH88" s="38" t="str">
        <f t="shared" si="45"/>
        <v/>
      </c>
      <c r="AJ88" s="4" t="str">
        <f t="shared" si="48"/>
        <v>Ort</v>
      </c>
    </row>
    <row r="89" spans="1:40" ht="15.75" hidden="1">
      <c r="A89" s="3" t="str">
        <f t="shared" si="46"/>
        <v/>
      </c>
      <c r="B89" s="351" t="str">
        <f t="shared" si="47"/>
        <v>Datum</v>
      </c>
      <c r="C89" s="41" t="s">
        <v>75</v>
      </c>
      <c r="D89" s="42"/>
      <c r="E89" s="3">
        <v>1</v>
      </c>
      <c r="F89" s="3" t="str">
        <f>IF(H89&lt;21,COUNTIF(H$6:H89,"&lt;21"),"")</f>
        <v/>
      </c>
      <c r="G89" s="7" t="str">
        <f t="shared" si="37"/>
        <v/>
      </c>
      <c r="H89" s="350">
        <v>21</v>
      </c>
      <c r="I89" s="30" t="s">
        <v>16</v>
      </c>
      <c r="J89" s="350">
        <v>21</v>
      </c>
      <c r="K89" s="7" t="str">
        <f t="shared" si="38"/>
        <v/>
      </c>
      <c r="L89" s="350">
        <v>21</v>
      </c>
      <c r="M89" s="7" t="str">
        <f t="shared" si="39"/>
        <v/>
      </c>
      <c r="N89" s="39"/>
      <c r="O89" s="40" t="s">
        <v>0</v>
      </c>
      <c r="P89" s="39"/>
      <c r="Q89" s="39"/>
      <c r="R89" s="40" t="s">
        <v>0</v>
      </c>
      <c r="S89" s="39"/>
      <c r="T89" s="39"/>
      <c r="U89" s="40" t="s">
        <v>0</v>
      </c>
      <c r="V89" s="39"/>
      <c r="W89" s="38"/>
      <c r="X89" s="38" t="str">
        <f t="shared" si="40"/>
        <v/>
      </c>
      <c r="Y89" s="40" t="s">
        <v>0</v>
      </c>
      <c r="Z89" s="38" t="str">
        <f t="shared" si="41"/>
        <v/>
      </c>
      <c r="AA89" s="38"/>
      <c r="AB89" s="38" t="str">
        <f t="shared" si="42"/>
        <v/>
      </c>
      <c r="AC89" s="40" t="s">
        <v>0</v>
      </c>
      <c r="AD89" s="38" t="str">
        <f t="shared" si="43"/>
        <v/>
      </c>
      <c r="AE89" s="57"/>
      <c r="AF89" s="38" t="str">
        <f t="shared" si="44"/>
        <v/>
      </c>
      <c r="AG89" s="40" t="s">
        <v>0</v>
      </c>
      <c r="AH89" s="38" t="str">
        <f t="shared" si="45"/>
        <v/>
      </c>
      <c r="AJ89" s="4" t="str">
        <f t="shared" si="48"/>
        <v>Ort</v>
      </c>
    </row>
    <row r="90" spans="1:40" ht="15.75" hidden="1">
      <c r="A90" s="3" t="str">
        <f t="shared" si="46"/>
        <v/>
      </c>
      <c r="B90" s="351" t="str">
        <f t="shared" si="47"/>
        <v>Datum</v>
      </c>
      <c r="C90" s="41" t="s">
        <v>75</v>
      </c>
      <c r="D90" s="42"/>
      <c r="E90" s="3">
        <v>1</v>
      </c>
      <c r="F90" s="3" t="str">
        <f>IF(H90&lt;21,COUNTIF(H$6:H90,"&lt;21"),"")</f>
        <v/>
      </c>
      <c r="G90" s="7" t="str">
        <f t="shared" si="37"/>
        <v/>
      </c>
      <c r="H90" s="350">
        <v>21</v>
      </c>
      <c r="I90" s="30" t="s">
        <v>16</v>
      </c>
      <c r="J90" s="350">
        <v>21</v>
      </c>
      <c r="K90" s="7" t="str">
        <f t="shared" si="38"/>
        <v/>
      </c>
      <c r="L90" s="350">
        <v>21</v>
      </c>
      <c r="M90" s="7" t="str">
        <f t="shared" si="39"/>
        <v/>
      </c>
      <c r="N90" s="39"/>
      <c r="O90" s="40" t="s">
        <v>0</v>
      </c>
      <c r="P90" s="39"/>
      <c r="Q90" s="39"/>
      <c r="R90" s="40" t="s">
        <v>0</v>
      </c>
      <c r="S90" s="39"/>
      <c r="T90" s="39"/>
      <c r="U90" s="40" t="s">
        <v>0</v>
      </c>
      <c r="V90" s="39"/>
      <c r="W90" s="38"/>
      <c r="X90" s="38" t="str">
        <f t="shared" si="40"/>
        <v/>
      </c>
      <c r="Y90" s="40" t="s">
        <v>0</v>
      </c>
      <c r="Z90" s="38" t="str">
        <f t="shared" si="41"/>
        <v/>
      </c>
      <c r="AA90" s="38"/>
      <c r="AB90" s="38" t="str">
        <f t="shared" si="42"/>
        <v/>
      </c>
      <c r="AC90" s="40" t="s">
        <v>0</v>
      </c>
      <c r="AD90" s="38" t="str">
        <f t="shared" si="43"/>
        <v/>
      </c>
      <c r="AE90" s="57"/>
      <c r="AF90" s="38" t="str">
        <f t="shared" si="44"/>
        <v/>
      </c>
      <c r="AG90" s="40" t="s">
        <v>0</v>
      </c>
      <c r="AH90" s="38" t="str">
        <f t="shared" si="45"/>
        <v/>
      </c>
      <c r="AJ90" s="4" t="str">
        <f t="shared" si="48"/>
        <v>Ort</v>
      </c>
    </row>
    <row r="91" spans="1:40" ht="15.75" hidden="1">
      <c r="A91" s="3" t="str">
        <f t="shared" si="46"/>
        <v/>
      </c>
      <c r="B91" s="351" t="str">
        <f t="shared" si="47"/>
        <v>Datum</v>
      </c>
      <c r="C91" s="41" t="s">
        <v>75</v>
      </c>
      <c r="D91" s="42"/>
      <c r="E91" s="3">
        <v>1</v>
      </c>
      <c r="F91" s="3" t="str">
        <f>IF(H91&lt;21,COUNTIF(H$6:H91,"&lt;21"),"")</f>
        <v/>
      </c>
      <c r="G91" s="7" t="str">
        <f t="shared" si="37"/>
        <v/>
      </c>
      <c r="H91" s="350">
        <v>21</v>
      </c>
      <c r="I91" s="30" t="s">
        <v>16</v>
      </c>
      <c r="J91" s="350">
        <v>21</v>
      </c>
      <c r="K91" s="7" t="str">
        <f t="shared" si="38"/>
        <v/>
      </c>
      <c r="L91" s="350">
        <v>21</v>
      </c>
      <c r="M91" s="7" t="str">
        <f t="shared" si="39"/>
        <v/>
      </c>
      <c r="N91" s="39"/>
      <c r="O91" s="40" t="s">
        <v>0</v>
      </c>
      <c r="P91" s="39"/>
      <c r="Q91" s="39"/>
      <c r="R91" s="40" t="s">
        <v>0</v>
      </c>
      <c r="S91" s="39"/>
      <c r="T91" s="39"/>
      <c r="U91" s="40" t="s">
        <v>0</v>
      </c>
      <c r="V91" s="39"/>
      <c r="W91" s="38"/>
      <c r="X91" s="38" t="str">
        <f t="shared" si="40"/>
        <v/>
      </c>
      <c r="Y91" s="40" t="s">
        <v>0</v>
      </c>
      <c r="Z91" s="38" t="str">
        <f t="shared" si="41"/>
        <v/>
      </c>
      <c r="AA91" s="38"/>
      <c r="AB91" s="38" t="str">
        <f t="shared" si="42"/>
        <v/>
      </c>
      <c r="AC91" s="40" t="s">
        <v>0</v>
      </c>
      <c r="AD91" s="38" t="str">
        <f t="shared" si="43"/>
        <v/>
      </c>
      <c r="AE91" s="57"/>
      <c r="AF91" s="38" t="str">
        <f t="shared" si="44"/>
        <v/>
      </c>
      <c r="AG91" s="40" t="s">
        <v>0</v>
      </c>
      <c r="AH91" s="38" t="str">
        <f t="shared" si="45"/>
        <v/>
      </c>
      <c r="AJ91" s="4" t="str">
        <f t="shared" si="48"/>
        <v>Ort</v>
      </c>
    </row>
    <row r="92" spans="1:40" ht="15.75" hidden="1">
      <c r="A92" s="3" t="str">
        <f t="shared" si="46"/>
        <v/>
      </c>
      <c r="B92" s="351" t="str">
        <f t="shared" si="47"/>
        <v>Datum</v>
      </c>
      <c r="C92" s="41" t="s">
        <v>75</v>
      </c>
      <c r="D92" s="42"/>
      <c r="E92" s="3">
        <v>1</v>
      </c>
      <c r="F92" s="3" t="str">
        <f>IF(H92&lt;21,COUNTIF(H$6:H92,"&lt;21"),"")</f>
        <v/>
      </c>
      <c r="G92" s="7" t="str">
        <f t="shared" si="37"/>
        <v/>
      </c>
      <c r="H92" s="350">
        <v>21</v>
      </c>
      <c r="I92" s="30" t="s">
        <v>16</v>
      </c>
      <c r="J92" s="350">
        <v>21</v>
      </c>
      <c r="K92" s="7" t="str">
        <f t="shared" si="38"/>
        <v/>
      </c>
      <c r="L92" s="350">
        <v>21</v>
      </c>
      <c r="M92" s="7" t="str">
        <f t="shared" si="39"/>
        <v/>
      </c>
      <c r="N92" s="39"/>
      <c r="O92" s="40" t="s">
        <v>0</v>
      </c>
      <c r="P92" s="39"/>
      <c r="Q92" s="39"/>
      <c r="R92" s="40" t="s">
        <v>0</v>
      </c>
      <c r="S92" s="39"/>
      <c r="T92" s="39"/>
      <c r="U92" s="40" t="s">
        <v>0</v>
      </c>
      <c r="V92" s="39"/>
      <c r="W92" s="38"/>
      <c r="X92" s="38" t="str">
        <f t="shared" si="40"/>
        <v/>
      </c>
      <c r="Y92" s="40" t="s">
        <v>0</v>
      </c>
      <c r="Z92" s="38" t="str">
        <f t="shared" si="41"/>
        <v/>
      </c>
      <c r="AA92" s="38"/>
      <c r="AB92" s="38" t="str">
        <f t="shared" si="42"/>
        <v/>
      </c>
      <c r="AC92" s="40" t="s">
        <v>0</v>
      </c>
      <c r="AD92" s="38" t="str">
        <f t="shared" si="43"/>
        <v/>
      </c>
      <c r="AE92" s="57"/>
      <c r="AF92" s="38" t="str">
        <f t="shared" si="44"/>
        <v/>
      </c>
      <c r="AG92" s="40" t="s">
        <v>0</v>
      </c>
      <c r="AH92" s="38" t="str">
        <f t="shared" si="45"/>
        <v/>
      </c>
      <c r="AJ92" s="4" t="str">
        <f t="shared" si="48"/>
        <v>Ort</v>
      </c>
    </row>
    <row r="93" spans="1:40" ht="15.75" hidden="1">
      <c r="A93" s="3" t="str">
        <f t="shared" si="46"/>
        <v/>
      </c>
      <c r="B93" s="351" t="str">
        <f t="shared" si="47"/>
        <v>Datum</v>
      </c>
      <c r="C93" s="41" t="s">
        <v>75</v>
      </c>
      <c r="D93" s="42"/>
      <c r="E93" s="3">
        <v>1</v>
      </c>
      <c r="F93" s="3" t="str">
        <f>IF(H93&lt;21,COUNTIF(H$6:H93,"&lt;21"),"")</f>
        <v/>
      </c>
      <c r="G93" s="7" t="str">
        <f t="shared" si="37"/>
        <v/>
      </c>
      <c r="H93" s="350">
        <v>21</v>
      </c>
      <c r="I93" s="30" t="s">
        <v>16</v>
      </c>
      <c r="J93" s="350">
        <v>21</v>
      </c>
      <c r="K93" s="7" t="str">
        <f t="shared" si="38"/>
        <v/>
      </c>
      <c r="L93" s="350">
        <v>21</v>
      </c>
      <c r="M93" s="7" t="str">
        <f t="shared" si="39"/>
        <v/>
      </c>
      <c r="N93" s="39"/>
      <c r="O93" s="40" t="s">
        <v>0</v>
      </c>
      <c r="P93" s="39"/>
      <c r="Q93" s="39"/>
      <c r="R93" s="40" t="s">
        <v>0</v>
      </c>
      <c r="S93" s="39"/>
      <c r="T93" s="39"/>
      <c r="U93" s="40" t="s">
        <v>0</v>
      </c>
      <c r="V93" s="39"/>
      <c r="W93" s="38"/>
      <c r="X93" s="38" t="str">
        <f t="shared" si="40"/>
        <v/>
      </c>
      <c r="Y93" s="40" t="s">
        <v>0</v>
      </c>
      <c r="Z93" s="38" t="str">
        <f t="shared" si="41"/>
        <v/>
      </c>
      <c r="AA93" s="38"/>
      <c r="AB93" s="38" t="str">
        <f t="shared" si="42"/>
        <v/>
      </c>
      <c r="AC93" s="40" t="s">
        <v>0</v>
      </c>
      <c r="AD93" s="38" t="str">
        <f t="shared" si="43"/>
        <v/>
      </c>
      <c r="AE93" s="57"/>
      <c r="AF93" s="38" t="str">
        <f t="shared" si="44"/>
        <v/>
      </c>
      <c r="AG93" s="40" t="s">
        <v>0</v>
      </c>
      <c r="AH93" s="38" t="str">
        <f t="shared" si="45"/>
        <v/>
      </c>
      <c r="AJ93" s="4" t="str">
        <f t="shared" si="48"/>
        <v>Ort</v>
      </c>
    </row>
    <row r="94" spans="1:40" ht="15.75" hidden="1">
      <c r="A94" s="3" t="str">
        <f t="shared" si="46"/>
        <v/>
      </c>
      <c r="B94" s="351" t="str">
        <f t="shared" si="47"/>
        <v>Datum</v>
      </c>
      <c r="C94" s="41" t="s">
        <v>75</v>
      </c>
      <c r="D94" s="42"/>
      <c r="E94" s="3">
        <v>1</v>
      </c>
      <c r="F94" s="3" t="str">
        <f>IF(H94&lt;21,COUNTIF(H$6:H94,"&lt;21"),"")</f>
        <v/>
      </c>
      <c r="G94" s="7" t="str">
        <f t="shared" si="37"/>
        <v/>
      </c>
      <c r="H94" s="350">
        <v>21</v>
      </c>
      <c r="I94" s="30" t="s">
        <v>16</v>
      </c>
      <c r="J94" s="350">
        <v>21</v>
      </c>
      <c r="K94" s="7" t="str">
        <f t="shared" si="38"/>
        <v/>
      </c>
      <c r="L94" s="350">
        <v>21</v>
      </c>
      <c r="M94" s="7" t="str">
        <f t="shared" si="39"/>
        <v/>
      </c>
      <c r="N94" s="39"/>
      <c r="O94" s="40" t="s">
        <v>0</v>
      </c>
      <c r="P94" s="39"/>
      <c r="Q94" s="39"/>
      <c r="R94" s="40" t="s">
        <v>0</v>
      </c>
      <c r="S94" s="39"/>
      <c r="T94" s="39"/>
      <c r="U94" s="40" t="s">
        <v>0</v>
      </c>
      <c r="V94" s="39"/>
      <c r="W94" s="38"/>
      <c r="X94" s="38" t="str">
        <f t="shared" si="40"/>
        <v/>
      </c>
      <c r="Y94" s="40" t="s">
        <v>0</v>
      </c>
      <c r="Z94" s="38" t="str">
        <f t="shared" si="41"/>
        <v/>
      </c>
      <c r="AA94" s="38"/>
      <c r="AB94" s="38" t="str">
        <f t="shared" si="42"/>
        <v/>
      </c>
      <c r="AC94" s="40" t="s">
        <v>0</v>
      </c>
      <c r="AD94" s="38" t="str">
        <f t="shared" si="43"/>
        <v/>
      </c>
      <c r="AE94" s="57"/>
      <c r="AF94" s="38" t="str">
        <f t="shared" si="44"/>
        <v/>
      </c>
      <c r="AG94" s="40" t="s">
        <v>0</v>
      </c>
      <c r="AH94" s="38" t="str">
        <f t="shared" si="45"/>
        <v/>
      </c>
      <c r="AJ94" s="4" t="str">
        <f t="shared" si="48"/>
        <v>Ort</v>
      </c>
    </row>
    <row r="95" spans="1:40" ht="15.75" hidden="1">
      <c r="A95" s="3" t="str">
        <f t="shared" si="46"/>
        <v/>
      </c>
      <c r="B95" s="351" t="str">
        <f t="shared" si="47"/>
        <v>Datum</v>
      </c>
      <c r="C95" s="41" t="s">
        <v>75</v>
      </c>
      <c r="D95" s="42"/>
      <c r="E95" s="3">
        <v>1</v>
      </c>
      <c r="F95" s="3" t="str">
        <f>IF(H95&lt;21,COUNTIF(H$6:H95,"&lt;21"),"")</f>
        <v/>
      </c>
      <c r="G95" s="7" t="str">
        <f t="shared" si="37"/>
        <v/>
      </c>
      <c r="H95" s="350">
        <v>21</v>
      </c>
      <c r="I95" s="30" t="s">
        <v>16</v>
      </c>
      <c r="J95" s="350">
        <v>21</v>
      </c>
      <c r="K95" s="7" t="str">
        <f t="shared" si="38"/>
        <v/>
      </c>
      <c r="L95" s="350">
        <v>21</v>
      </c>
      <c r="M95" s="7" t="str">
        <f t="shared" si="39"/>
        <v/>
      </c>
      <c r="N95" s="39"/>
      <c r="O95" s="40" t="s">
        <v>0</v>
      </c>
      <c r="P95" s="39"/>
      <c r="Q95" s="39"/>
      <c r="R95" s="40" t="s">
        <v>0</v>
      </c>
      <c r="S95" s="39"/>
      <c r="T95" s="39"/>
      <c r="U95" s="40" t="s">
        <v>0</v>
      </c>
      <c r="V95" s="39"/>
      <c r="W95" s="38"/>
      <c r="X95" s="38" t="str">
        <f t="shared" si="40"/>
        <v/>
      </c>
      <c r="Y95" s="40" t="s">
        <v>0</v>
      </c>
      <c r="Z95" s="38" t="str">
        <f t="shared" si="41"/>
        <v/>
      </c>
      <c r="AA95" s="38"/>
      <c r="AB95" s="38" t="str">
        <f t="shared" si="42"/>
        <v/>
      </c>
      <c r="AC95" s="40" t="s">
        <v>0</v>
      </c>
      <c r="AD95" s="38" t="str">
        <f t="shared" si="43"/>
        <v/>
      </c>
      <c r="AE95" s="57"/>
      <c r="AF95" s="38" t="str">
        <f t="shared" si="44"/>
        <v/>
      </c>
      <c r="AG95" s="40" t="s">
        <v>0</v>
      </c>
      <c r="AH95" s="38" t="str">
        <f t="shared" si="45"/>
        <v/>
      </c>
      <c r="AJ95" s="4" t="str">
        <f t="shared" si="48"/>
        <v>Ort</v>
      </c>
    </row>
    <row r="96" spans="1:40" ht="15.75" hidden="1">
      <c r="A96" s="3" t="str">
        <f t="shared" si="46"/>
        <v/>
      </c>
      <c r="B96" s="351" t="str">
        <f t="shared" si="47"/>
        <v>Datum</v>
      </c>
      <c r="C96" s="41" t="s">
        <v>75</v>
      </c>
      <c r="D96" s="42"/>
      <c r="E96" s="3">
        <v>1</v>
      </c>
      <c r="F96" s="3" t="str">
        <f>IF(H96&lt;21,COUNTIF(H$6:H96,"&lt;21"),"")</f>
        <v/>
      </c>
      <c r="G96" s="7" t="str">
        <f t="shared" si="37"/>
        <v/>
      </c>
      <c r="H96" s="350">
        <v>21</v>
      </c>
      <c r="I96" s="30" t="s">
        <v>16</v>
      </c>
      <c r="J96" s="350">
        <v>21</v>
      </c>
      <c r="K96" s="7" t="str">
        <f t="shared" si="38"/>
        <v/>
      </c>
      <c r="L96" s="350">
        <v>21</v>
      </c>
      <c r="M96" s="7" t="str">
        <f t="shared" si="39"/>
        <v/>
      </c>
      <c r="N96" s="39"/>
      <c r="O96" s="40" t="s">
        <v>0</v>
      </c>
      <c r="P96" s="39"/>
      <c r="Q96" s="39"/>
      <c r="R96" s="40" t="s">
        <v>0</v>
      </c>
      <c r="S96" s="39"/>
      <c r="T96" s="39"/>
      <c r="U96" s="40" t="s">
        <v>0</v>
      </c>
      <c r="V96" s="39"/>
      <c r="W96" s="38"/>
      <c r="X96" s="38" t="str">
        <f t="shared" si="40"/>
        <v/>
      </c>
      <c r="Y96" s="40" t="s">
        <v>0</v>
      </c>
      <c r="Z96" s="38" t="str">
        <f t="shared" si="41"/>
        <v/>
      </c>
      <c r="AA96" s="38"/>
      <c r="AB96" s="38" t="str">
        <f t="shared" si="42"/>
        <v/>
      </c>
      <c r="AC96" s="40" t="s">
        <v>0</v>
      </c>
      <c r="AD96" s="38" t="str">
        <f t="shared" si="43"/>
        <v/>
      </c>
      <c r="AE96" s="57"/>
      <c r="AF96" s="38" t="str">
        <f t="shared" si="44"/>
        <v/>
      </c>
      <c r="AG96" s="40" t="s">
        <v>0</v>
      </c>
      <c r="AH96" s="38" t="str">
        <f t="shared" si="45"/>
        <v/>
      </c>
      <c r="AJ96" s="4" t="str">
        <f t="shared" si="48"/>
        <v>Ort</v>
      </c>
    </row>
    <row r="97" spans="1:40" ht="15.75" hidden="1">
      <c r="A97" s="3" t="str">
        <f t="shared" si="46"/>
        <v/>
      </c>
      <c r="B97" s="351" t="str">
        <f t="shared" si="47"/>
        <v>Datum</v>
      </c>
      <c r="C97" s="41" t="s">
        <v>75</v>
      </c>
      <c r="D97" s="42"/>
      <c r="E97" s="3">
        <v>1</v>
      </c>
      <c r="F97" s="3" t="str">
        <f>IF(H97&lt;21,COUNTIF(H$6:H97,"&lt;21"),"")</f>
        <v/>
      </c>
      <c r="G97" s="7" t="str">
        <f t="shared" si="37"/>
        <v/>
      </c>
      <c r="H97" s="350">
        <v>21</v>
      </c>
      <c r="I97" s="30" t="s">
        <v>16</v>
      </c>
      <c r="J97" s="350">
        <v>21</v>
      </c>
      <c r="K97" s="7" t="str">
        <f t="shared" si="38"/>
        <v/>
      </c>
      <c r="L97" s="350">
        <v>21</v>
      </c>
      <c r="M97" s="7" t="str">
        <f t="shared" si="39"/>
        <v/>
      </c>
      <c r="N97" s="39"/>
      <c r="O97" s="40" t="s">
        <v>0</v>
      </c>
      <c r="P97" s="39"/>
      <c r="Q97" s="39"/>
      <c r="R97" s="40" t="s">
        <v>0</v>
      </c>
      <c r="S97" s="39"/>
      <c r="T97" s="39"/>
      <c r="U97" s="40" t="s">
        <v>0</v>
      </c>
      <c r="V97" s="39"/>
      <c r="W97" s="38"/>
      <c r="X97" s="38" t="str">
        <f t="shared" si="40"/>
        <v/>
      </c>
      <c r="Y97" s="40" t="s">
        <v>0</v>
      </c>
      <c r="Z97" s="38" t="str">
        <f t="shared" si="41"/>
        <v/>
      </c>
      <c r="AA97" s="38"/>
      <c r="AB97" s="38" t="str">
        <f t="shared" si="42"/>
        <v/>
      </c>
      <c r="AC97" s="40" t="s">
        <v>0</v>
      </c>
      <c r="AD97" s="38" t="str">
        <f t="shared" si="43"/>
        <v/>
      </c>
      <c r="AE97" s="57"/>
      <c r="AF97" s="38" t="str">
        <f t="shared" si="44"/>
        <v/>
      </c>
      <c r="AG97" s="40" t="s">
        <v>0</v>
      </c>
      <c r="AH97" s="38" t="str">
        <f t="shared" si="45"/>
        <v/>
      </c>
      <c r="AJ97" s="4" t="str">
        <f t="shared" si="48"/>
        <v>Ort</v>
      </c>
    </row>
    <row r="98" spans="1:40" ht="15.75" hidden="1">
      <c r="A98" s="3" t="str">
        <f t="shared" si="46"/>
        <v/>
      </c>
      <c r="B98" s="351" t="str">
        <f t="shared" si="47"/>
        <v>Datum</v>
      </c>
      <c r="C98" s="41" t="s">
        <v>75</v>
      </c>
      <c r="D98" s="42"/>
      <c r="E98" s="3">
        <v>1</v>
      </c>
      <c r="F98" s="3" t="str">
        <f>IF(H98&lt;21,COUNTIF(H$6:H98,"&lt;21"),"")</f>
        <v/>
      </c>
      <c r="G98" s="7" t="str">
        <f t="shared" si="37"/>
        <v/>
      </c>
      <c r="H98" s="350">
        <v>21</v>
      </c>
      <c r="I98" s="30" t="s">
        <v>16</v>
      </c>
      <c r="J98" s="350">
        <v>21</v>
      </c>
      <c r="K98" s="7" t="str">
        <f t="shared" si="38"/>
        <v/>
      </c>
      <c r="L98" s="350">
        <v>21</v>
      </c>
      <c r="M98" s="7" t="str">
        <f t="shared" si="39"/>
        <v/>
      </c>
      <c r="N98" s="39"/>
      <c r="O98" s="40" t="s">
        <v>0</v>
      </c>
      <c r="P98" s="39"/>
      <c r="Q98" s="39"/>
      <c r="R98" s="40" t="s">
        <v>0</v>
      </c>
      <c r="S98" s="39"/>
      <c r="T98" s="39"/>
      <c r="U98" s="40" t="s">
        <v>0</v>
      </c>
      <c r="V98" s="39"/>
      <c r="W98" s="38"/>
      <c r="X98" s="38" t="str">
        <f t="shared" si="40"/>
        <v/>
      </c>
      <c r="Y98" s="40" t="s">
        <v>0</v>
      </c>
      <c r="Z98" s="38" t="str">
        <f t="shared" si="41"/>
        <v/>
      </c>
      <c r="AA98" s="38"/>
      <c r="AB98" s="38" t="str">
        <f t="shared" si="42"/>
        <v/>
      </c>
      <c r="AC98" s="40" t="s">
        <v>0</v>
      </c>
      <c r="AD98" s="38" t="str">
        <f t="shared" si="43"/>
        <v/>
      </c>
      <c r="AE98" s="57"/>
      <c r="AF98" s="38" t="str">
        <f t="shared" si="44"/>
        <v/>
      </c>
      <c r="AG98" s="40" t="s">
        <v>0</v>
      </c>
      <c r="AH98" s="38" t="str">
        <f t="shared" si="45"/>
        <v/>
      </c>
      <c r="AJ98" s="4" t="str">
        <f t="shared" si="48"/>
        <v>Ort</v>
      </c>
    </row>
    <row r="99" spans="1:40" ht="15.75" hidden="1">
      <c r="A99" s="3" t="str">
        <f t="shared" si="46"/>
        <v/>
      </c>
      <c r="B99" s="351" t="str">
        <f t="shared" si="47"/>
        <v>Datum</v>
      </c>
      <c r="C99" s="41" t="s">
        <v>75</v>
      </c>
      <c r="D99" s="42"/>
      <c r="E99" s="3">
        <v>1</v>
      </c>
      <c r="F99" s="3" t="str">
        <f>IF(H99&lt;21,COUNTIF(H$6:H99,"&lt;21"),"")</f>
        <v/>
      </c>
      <c r="G99" s="7" t="str">
        <f t="shared" si="37"/>
        <v/>
      </c>
      <c r="H99" s="350">
        <v>21</v>
      </c>
      <c r="I99" s="30" t="s">
        <v>16</v>
      </c>
      <c r="J99" s="350">
        <v>21</v>
      </c>
      <c r="K99" s="7" t="str">
        <f t="shared" si="38"/>
        <v/>
      </c>
      <c r="L99" s="350">
        <v>21</v>
      </c>
      <c r="M99" s="7" t="str">
        <f t="shared" si="39"/>
        <v/>
      </c>
      <c r="N99" s="39"/>
      <c r="O99" s="40" t="s">
        <v>0</v>
      </c>
      <c r="P99" s="39"/>
      <c r="Q99" s="39"/>
      <c r="R99" s="40" t="s">
        <v>0</v>
      </c>
      <c r="S99" s="39"/>
      <c r="T99" s="39"/>
      <c r="U99" s="40" t="s">
        <v>0</v>
      </c>
      <c r="V99" s="39"/>
      <c r="W99" s="38"/>
      <c r="X99" s="38" t="str">
        <f t="shared" si="40"/>
        <v/>
      </c>
      <c r="Y99" s="40" t="s">
        <v>0</v>
      </c>
      <c r="Z99" s="38" t="str">
        <f t="shared" si="41"/>
        <v/>
      </c>
      <c r="AA99" s="38"/>
      <c r="AB99" s="38" t="str">
        <f t="shared" si="42"/>
        <v/>
      </c>
      <c r="AC99" s="40" t="s">
        <v>0</v>
      </c>
      <c r="AD99" s="38" t="str">
        <f t="shared" si="43"/>
        <v/>
      </c>
      <c r="AE99" s="57"/>
      <c r="AF99" s="38" t="str">
        <f t="shared" si="44"/>
        <v/>
      </c>
      <c r="AG99" s="40" t="s">
        <v>0</v>
      </c>
      <c r="AH99" s="38" t="str">
        <f t="shared" si="45"/>
        <v/>
      </c>
      <c r="AJ99" s="4" t="str">
        <f t="shared" si="48"/>
        <v>Ort</v>
      </c>
    </row>
    <row r="100" spans="1:40" ht="15.75" hidden="1">
      <c r="A100" s="3" t="str">
        <f t="shared" si="46"/>
        <v/>
      </c>
      <c r="B100" s="351" t="str">
        <f t="shared" si="47"/>
        <v>Datum</v>
      </c>
      <c r="C100" s="41" t="s">
        <v>75</v>
      </c>
      <c r="D100" s="42"/>
      <c r="E100" s="3">
        <v>1</v>
      </c>
      <c r="F100" s="3" t="str">
        <f>IF(H100&lt;21,COUNTIF(H$6:H100,"&lt;21"),"")</f>
        <v/>
      </c>
      <c r="G100" s="7" t="str">
        <f t="shared" si="37"/>
        <v/>
      </c>
      <c r="H100" s="350">
        <v>21</v>
      </c>
      <c r="I100" s="30" t="s">
        <v>16</v>
      </c>
      <c r="J100" s="350">
        <v>21</v>
      </c>
      <c r="K100" s="7" t="str">
        <f t="shared" si="38"/>
        <v/>
      </c>
      <c r="L100" s="350">
        <v>21</v>
      </c>
      <c r="M100" s="7" t="str">
        <f t="shared" si="39"/>
        <v/>
      </c>
      <c r="N100" s="39"/>
      <c r="O100" s="40" t="s">
        <v>0</v>
      </c>
      <c r="P100" s="39"/>
      <c r="Q100" s="39"/>
      <c r="R100" s="40" t="s">
        <v>0</v>
      </c>
      <c r="S100" s="39"/>
      <c r="T100" s="39"/>
      <c r="U100" s="40" t="s">
        <v>0</v>
      </c>
      <c r="V100" s="39"/>
      <c r="W100" s="38"/>
      <c r="X100" s="38" t="str">
        <f t="shared" si="40"/>
        <v/>
      </c>
      <c r="Y100" s="40" t="s">
        <v>0</v>
      </c>
      <c r="Z100" s="38" t="str">
        <f t="shared" si="41"/>
        <v/>
      </c>
      <c r="AA100" s="38"/>
      <c r="AB100" s="38" t="str">
        <f t="shared" si="42"/>
        <v/>
      </c>
      <c r="AC100" s="40" t="s">
        <v>0</v>
      </c>
      <c r="AD100" s="38" t="str">
        <f t="shared" si="43"/>
        <v/>
      </c>
      <c r="AE100" s="57"/>
      <c r="AF100" s="38" t="str">
        <f t="shared" si="44"/>
        <v/>
      </c>
      <c r="AG100" s="40" t="s">
        <v>0</v>
      </c>
      <c r="AH100" s="38" t="str">
        <f t="shared" si="45"/>
        <v/>
      </c>
      <c r="AJ100" s="4" t="str">
        <f t="shared" si="48"/>
        <v>Ort</v>
      </c>
    </row>
    <row r="101" spans="1:40" ht="15.75" hidden="1">
      <c r="A101" s="352" t="str">
        <f t="shared" si="46"/>
        <v/>
      </c>
      <c r="B101" s="351" t="str">
        <f t="shared" si="47"/>
        <v>Datum</v>
      </c>
      <c r="C101" s="41" t="s">
        <v>75</v>
      </c>
      <c r="D101" s="42"/>
      <c r="E101" s="3">
        <v>1</v>
      </c>
      <c r="F101" s="3" t="str">
        <f>IF(H101&lt;21,COUNTIF(H$6:H101,"&lt;21"),"")</f>
        <v/>
      </c>
      <c r="G101" s="7" t="str">
        <f t="shared" si="37"/>
        <v/>
      </c>
      <c r="H101" s="350">
        <v>21</v>
      </c>
      <c r="I101" s="30" t="s">
        <v>16</v>
      </c>
      <c r="J101" s="350">
        <v>21</v>
      </c>
      <c r="K101" s="7" t="str">
        <f t="shared" si="38"/>
        <v/>
      </c>
      <c r="L101" s="350">
        <v>21</v>
      </c>
      <c r="M101" s="7" t="str">
        <f t="shared" si="39"/>
        <v/>
      </c>
      <c r="N101" s="39"/>
      <c r="O101" s="40" t="s">
        <v>0</v>
      </c>
      <c r="P101" s="39"/>
      <c r="Q101" s="39"/>
      <c r="R101" s="40" t="s">
        <v>0</v>
      </c>
      <c r="S101" s="39"/>
      <c r="T101" s="39"/>
      <c r="U101" s="40" t="s">
        <v>0</v>
      </c>
      <c r="V101" s="39"/>
      <c r="W101" s="38"/>
      <c r="X101" s="38" t="str">
        <f t="shared" si="40"/>
        <v/>
      </c>
      <c r="Y101" s="40" t="s">
        <v>0</v>
      </c>
      <c r="Z101" s="38" t="str">
        <f t="shared" si="41"/>
        <v/>
      </c>
      <c r="AA101" s="38"/>
      <c r="AB101" s="38" t="str">
        <f t="shared" si="42"/>
        <v/>
      </c>
      <c r="AC101" s="40" t="s">
        <v>0</v>
      </c>
      <c r="AD101" s="38" t="str">
        <f t="shared" si="43"/>
        <v/>
      </c>
      <c r="AE101" s="57"/>
      <c r="AF101" s="38" t="str">
        <f t="shared" si="44"/>
        <v/>
      </c>
      <c r="AG101" s="40" t="s">
        <v>0</v>
      </c>
      <c r="AH101" s="38" t="str">
        <f t="shared" si="45"/>
        <v/>
      </c>
      <c r="AJ101" s="4" t="str">
        <f t="shared" si="48"/>
        <v>Ort</v>
      </c>
    </row>
    <row r="102" spans="1:40">
      <c r="A102" s="353"/>
      <c r="W102" s="35"/>
      <c r="X102" s="35"/>
      <c r="Y102" s="35"/>
      <c r="Z102" s="35"/>
      <c r="AE102" s="58"/>
    </row>
    <row r="103" spans="1:40">
      <c r="A103" s="353"/>
      <c r="B103" s="151"/>
      <c r="W103" s="35"/>
      <c r="X103" s="35"/>
      <c r="Y103" s="35"/>
      <c r="Z103" s="35"/>
      <c r="AE103" s="58"/>
    </row>
    <row r="104" spans="1:40" s="18" customFormat="1" ht="20.25">
      <c r="C104" s="14"/>
      <c r="D104" s="15"/>
      <c r="E104" s="15"/>
      <c r="F104" s="16" t="s">
        <v>81</v>
      </c>
      <c r="I104" s="16"/>
      <c r="J104" s="16"/>
      <c r="K104" s="354" t="s">
        <v>84</v>
      </c>
      <c r="L104" s="354"/>
      <c r="M104" s="355" t="s">
        <v>146</v>
      </c>
      <c r="N104" s="14"/>
      <c r="O104" s="14"/>
      <c r="P104" s="356" t="s">
        <v>147</v>
      </c>
      <c r="Q104" s="14"/>
      <c r="R104" s="14"/>
      <c r="S104" s="14"/>
      <c r="T104" s="14"/>
      <c r="U104" s="14"/>
      <c r="V104" s="14"/>
      <c r="W104" s="36"/>
      <c r="X104" s="36"/>
      <c r="Y104" s="36"/>
      <c r="Z104" s="36"/>
      <c r="AA104" s="36"/>
      <c r="AB104" s="36"/>
      <c r="AC104" s="36"/>
      <c r="AD104" s="36"/>
      <c r="AE104" s="55"/>
      <c r="AF104" s="36"/>
      <c r="AG104" s="36"/>
      <c r="AH104" s="36"/>
      <c r="AM104" s="4"/>
      <c r="AN104" s="4"/>
    </row>
    <row r="105" spans="1:40" s="31" customFormat="1" ht="21" thickBot="1">
      <c r="A105" s="149" t="s">
        <v>13</v>
      </c>
      <c r="B105" s="21" t="s">
        <v>84</v>
      </c>
      <c r="C105" s="357" t="s">
        <v>8</v>
      </c>
      <c r="D105" s="358" t="s">
        <v>4</v>
      </c>
      <c r="E105" s="358" t="s">
        <v>3</v>
      </c>
      <c r="F105" s="358" t="s">
        <v>13</v>
      </c>
      <c r="G105" s="28" t="s">
        <v>7</v>
      </c>
      <c r="H105" s="345" t="s">
        <v>24</v>
      </c>
      <c r="I105" s="29"/>
      <c r="J105" s="346" t="s">
        <v>25</v>
      </c>
      <c r="K105" s="28" t="s">
        <v>6</v>
      </c>
      <c r="L105" s="345" t="s">
        <v>76</v>
      </c>
      <c r="M105" s="29" t="s">
        <v>5</v>
      </c>
      <c r="N105" s="484" t="s">
        <v>29</v>
      </c>
      <c r="O105" s="484"/>
      <c r="P105" s="484"/>
      <c r="Q105" s="484" t="s">
        <v>30</v>
      </c>
      <c r="R105" s="484"/>
      <c r="S105" s="484"/>
      <c r="T105" s="484" t="s">
        <v>31</v>
      </c>
      <c r="U105" s="484"/>
      <c r="V105" s="484"/>
      <c r="W105" s="37"/>
      <c r="X105" s="483" t="s">
        <v>2</v>
      </c>
      <c r="Y105" s="483"/>
      <c r="Z105" s="483"/>
      <c r="AA105" s="37"/>
      <c r="AB105" s="483" t="s">
        <v>32</v>
      </c>
      <c r="AC105" s="483"/>
      <c r="AD105" s="483"/>
      <c r="AE105" s="359"/>
      <c r="AF105" s="483" t="s">
        <v>28</v>
      </c>
      <c r="AG105" s="483"/>
      <c r="AH105" s="483"/>
      <c r="AM105" s="18"/>
      <c r="AN105" s="18"/>
    </row>
    <row r="106" spans="1:40" ht="15.75">
      <c r="A106" s="3">
        <f>F106</f>
        <v>37</v>
      </c>
      <c r="B106" s="462" t="str">
        <f>K$104</f>
        <v>Datum</v>
      </c>
      <c r="C106" s="459">
        <v>0.39583333333333331</v>
      </c>
      <c r="D106" s="427">
        <v>1</v>
      </c>
      <c r="E106" s="428">
        <v>1</v>
      </c>
      <c r="F106" s="428">
        <f>IF(H106&lt;21,COUNTIF(H$6:H106,"&lt;21"),"")</f>
        <v>37</v>
      </c>
      <c r="G106" s="429" t="s">
        <v>148</v>
      </c>
      <c r="H106" s="463">
        <v>4</v>
      </c>
      <c r="I106" s="431" t="s">
        <v>16</v>
      </c>
      <c r="J106" s="463">
        <v>5</v>
      </c>
      <c r="K106" s="429" t="s">
        <v>149</v>
      </c>
      <c r="L106" s="463">
        <v>6</v>
      </c>
      <c r="M106" s="429" t="s">
        <v>150</v>
      </c>
      <c r="N106" s="432"/>
      <c r="O106" s="433" t="s">
        <v>0</v>
      </c>
      <c r="P106" s="432"/>
      <c r="Q106" s="432"/>
      <c r="R106" s="433" t="s">
        <v>0</v>
      </c>
      <c r="S106" s="432"/>
      <c r="T106" s="432"/>
      <c r="U106" s="433" t="s">
        <v>0</v>
      </c>
      <c r="V106" s="432"/>
      <c r="W106" s="434"/>
      <c r="X106" s="434" t="str">
        <f t="shared" ref="X106:X128" si="49">IF(N106+P106&gt;0,IF(AB106&gt;0,IF(AB106&gt;AD106,2,IF(AB106&lt;AD106,0,1)),0),"")</f>
        <v/>
      </c>
      <c r="Y106" s="433" t="s">
        <v>0</v>
      </c>
      <c r="Z106" s="434" t="str">
        <f t="shared" ref="Z106:Z128" si="50">IF(N106+P106&gt;0,IF(AD106&gt;0,IF(AD106&gt;AB106,2,IF(AD106&lt;AB106,0,1)),0),"")</f>
        <v/>
      </c>
      <c r="AA106" s="434"/>
      <c r="AB106" s="434" t="str">
        <f t="shared" ref="AB106:AB128" si="51">IF(N106+P106&gt;0,IF(N106&gt;P106,1,0)+IF(Q106&gt;S106,1,0)+IF(T106&gt;V106,1,0),"")</f>
        <v/>
      </c>
      <c r="AC106" s="433" t="s">
        <v>0</v>
      </c>
      <c r="AD106" s="434" t="str">
        <f t="shared" ref="AD106:AD128" si="52">IF(N106+P106&gt;0,IF(N106&lt;P106,1,0)+IF(Q106&lt;S106,1,0)+IF(T106&lt;V106,1,0),"")</f>
        <v/>
      </c>
      <c r="AE106" s="435"/>
      <c r="AF106" s="434" t="str">
        <f t="shared" ref="AF106:AF128" si="53">IF(N106+P106&gt;0,N106+Q106+T106,"")</f>
        <v/>
      </c>
      <c r="AG106" s="433" t="s">
        <v>0</v>
      </c>
      <c r="AH106" s="436" t="str">
        <f t="shared" ref="AH106:AH128" si="54">IF(N106+P106&gt;0,P106+S106+V106,"")</f>
        <v/>
      </c>
      <c r="AJ106" s="4" t="str">
        <f>M$104</f>
        <v>Ort</v>
      </c>
      <c r="AM106" s="31"/>
      <c r="AN106" s="31"/>
    </row>
    <row r="107" spans="1:40" ht="15.75">
      <c r="A107" s="3">
        <f t="shared" ref="A107:A128" si="55">F107</f>
        <v>38</v>
      </c>
      <c r="B107" s="462" t="str">
        <f t="shared" ref="B107:B128" si="56">K$104</f>
        <v>Datum</v>
      </c>
      <c r="C107" s="437" t="s">
        <v>75</v>
      </c>
      <c r="D107" s="438">
        <v>2</v>
      </c>
      <c r="E107" s="439">
        <v>1</v>
      </c>
      <c r="F107" s="439">
        <f>IF(H107&lt;21,COUNTIF(H$6:H107,"&lt;21"),"")</f>
        <v>38</v>
      </c>
      <c r="G107" s="440" t="s">
        <v>149</v>
      </c>
      <c r="H107" s="460">
        <v>5</v>
      </c>
      <c r="I107" s="442" t="s">
        <v>16</v>
      </c>
      <c r="J107" s="460">
        <v>6</v>
      </c>
      <c r="K107" s="440" t="s">
        <v>150</v>
      </c>
      <c r="L107" s="460">
        <v>4</v>
      </c>
      <c r="M107" s="440" t="s">
        <v>148</v>
      </c>
      <c r="N107" s="443"/>
      <c r="O107" s="444" t="s">
        <v>0</v>
      </c>
      <c r="P107" s="443"/>
      <c r="Q107" s="443"/>
      <c r="R107" s="444" t="s">
        <v>0</v>
      </c>
      <c r="S107" s="443"/>
      <c r="T107" s="443"/>
      <c r="U107" s="444" t="s">
        <v>0</v>
      </c>
      <c r="V107" s="443"/>
      <c r="W107" s="445"/>
      <c r="X107" s="445" t="str">
        <f t="shared" si="49"/>
        <v/>
      </c>
      <c r="Y107" s="444" t="s">
        <v>0</v>
      </c>
      <c r="Z107" s="445" t="str">
        <f t="shared" si="50"/>
        <v/>
      </c>
      <c r="AA107" s="445"/>
      <c r="AB107" s="445" t="str">
        <f t="shared" si="51"/>
        <v/>
      </c>
      <c r="AC107" s="444" t="s">
        <v>0</v>
      </c>
      <c r="AD107" s="445" t="str">
        <f t="shared" si="52"/>
        <v/>
      </c>
      <c r="AE107" s="446"/>
      <c r="AF107" s="445" t="str">
        <f t="shared" si="53"/>
        <v/>
      </c>
      <c r="AG107" s="444" t="s">
        <v>0</v>
      </c>
      <c r="AH107" s="447" t="str">
        <f t="shared" si="54"/>
        <v/>
      </c>
      <c r="AJ107" s="4" t="str">
        <f t="shared" ref="AJ107:AJ128" si="57">M$104</f>
        <v>Ort</v>
      </c>
    </row>
    <row r="108" spans="1:40" ht="16.5" thickBot="1">
      <c r="A108" s="3">
        <f t="shared" si="55"/>
        <v>39</v>
      </c>
      <c r="B108" s="462" t="str">
        <f t="shared" si="56"/>
        <v>Datum</v>
      </c>
      <c r="C108" s="448" t="s">
        <v>75</v>
      </c>
      <c r="D108" s="449">
        <v>3</v>
      </c>
      <c r="E108" s="450">
        <v>1</v>
      </c>
      <c r="F108" s="450">
        <f>IF(H108&lt;21,COUNTIF(H$6:H108,"&lt;21"),"")</f>
        <v>39</v>
      </c>
      <c r="G108" s="451" t="s">
        <v>150</v>
      </c>
      <c r="H108" s="452">
        <v>6</v>
      </c>
      <c r="I108" s="453" t="s">
        <v>16</v>
      </c>
      <c r="J108" s="452">
        <v>4</v>
      </c>
      <c r="K108" s="451" t="s">
        <v>148</v>
      </c>
      <c r="L108" s="452">
        <v>5</v>
      </c>
      <c r="M108" s="451" t="s">
        <v>149</v>
      </c>
      <c r="N108" s="454"/>
      <c r="O108" s="455" t="s">
        <v>0</v>
      </c>
      <c r="P108" s="454"/>
      <c r="Q108" s="454"/>
      <c r="R108" s="455" t="s">
        <v>0</v>
      </c>
      <c r="S108" s="454"/>
      <c r="T108" s="454"/>
      <c r="U108" s="455" t="s">
        <v>0</v>
      </c>
      <c r="V108" s="454"/>
      <c r="W108" s="456"/>
      <c r="X108" s="456" t="str">
        <f t="shared" si="49"/>
        <v/>
      </c>
      <c r="Y108" s="455" t="s">
        <v>0</v>
      </c>
      <c r="Z108" s="456" t="str">
        <f t="shared" si="50"/>
        <v/>
      </c>
      <c r="AA108" s="456"/>
      <c r="AB108" s="456" t="str">
        <f t="shared" si="51"/>
        <v/>
      </c>
      <c r="AC108" s="455" t="s">
        <v>0</v>
      </c>
      <c r="AD108" s="456" t="str">
        <f t="shared" si="52"/>
        <v/>
      </c>
      <c r="AE108" s="457"/>
      <c r="AF108" s="456" t="str">
        <f t="shared" si="53"/>
        <v/>
      </c>
      <c r="AG108" s="455" t="s">
        <v>0</v>
      </c>
      <c r="AH108" s="458" t="str">
        <f t="shared" si="54"/>
        <v/>
      </c>
      <c r="AJ108" s="4" t="str">
        <f t="shared" si="57"/>
        <v>Ort</v>
      </c>
    </row>
    <row r="109" spans="1:40" ht="15.75">
      <c r="A109" s="3">
        <f t="shared" si="55"/>
        <v>40</v>
      </c>
      <c r="B109" s="462" t="str">
        <f t="shared" si="56"/>
        <v>Datum</v>
      </c>
      <c r="C109" s="393">
        <v>0.5</v>
      </c>
      <c r="D109" s="394">
        <v>4</v>
      </c>
      <c r="E109" s="395">
        <v>1</v>
      </c>
      <c r="F109" s="395">
        <f>IF(H109&lt;21,COUNTIF(H$6:H109,"&lt;21"),"")</f>
        <v>40</v>
      </c>
      <c r="G109" s="396" t="s">
        <v>151</v>
      </c>
      <c r="H109" s="465">
        <v>1</v>
      </c>
      <c r="I109" s="398" t="s">
        <v>16</v>
      </c>
      <c r="J109" s="465">
        <v>2</v>
      </c>
      <c r="K109" s="396" t="s">
        <v>152</v>
      </c>
      <c r="L109" s="465">
        <v>3</v>
      </c>
      <c r="M109" s="396" t="s">
        <v>153</v>
      </c>
      <c r="N109" s="399"/>
      <c r="O109" s="400" t="s">
        <v>0</v>
      </c>
      <c r="P109" s="399"/>
      <c r="Q109" s="399"/>
      <c r="R109" s="400" t="s">
        <v>0</v>
      </c>
      <c r="S109" s="399"/>
      <c r="T109" s="399"/>
      <c r="U109" s="400" t="s">
        <v>0</v>
      </c>
      <c r="V109" s="399"/>
      <c r="W109" s="401"/>
      <c r="X109" s="401" t="str">
        <f t="shared" si="49"/>
        <v/>
      </c>
      <c r="Y109" s="400" t="s">
        <v>0</v>
      </c>
      <c r="Z109" s="401" t="str">
        <f t="shared" si="50"/>
        <v/>
      </c>
      <c r="AA109" s="401"/>
      <c r="AB109" s="401" t="str">
        <f t="shared" si="51"/>
        <v/>
      </c>
      <c r="AC109" s="400" t="s">
        <v>0</v>
      </c>
      <c r="AD109" s="401" t="str">
        <f t="shared" si="52"/>
        <v/>
      </c>
      <c r="AE109" s="402"/>
      <c r="AF109" s="401" t="str">
        <f t="shared" si="53"/>
        <v/>
      </c>
      <c r="AG109" s="400" t="s">
        <v>0</v>
      </c>
      <c r="AH109" s="403" t="str">
        <f t="shared" si="54"/>
        <v/>
      </c>
      <c r="AJ109" s="4" t="str">
        <f t="shared" si="57"/>
        <v>Ort</v>
      </c>
    </row>
    <row r="110" spans="1:40" ht="15.75">
      <c r="A110" s="3">
        <f t="shared" si="55"/>
        <v>41</v>
      </c>
      <c r="B110" s="462" t="str">
        <f t="shared" si="56"/>
        <v>Datum</v>
      </c>
      <c r="C110" s="404" t="s">
        <v>75</v>
      </c>
      <c r="D110" s="405">
        <v>5</v>
      </c>
      <c r="E110" s="406">
        <v>1</v>
      </c>
      <c r="F110" s="406">
        <f>IF(H110&lt;21,COUNTIF(H$6:H110,"&lt;21"),"")</f>
        <v>41</v>
      </c>
      <c r="G110" s="407" t="s">
        <v>154</v>
      </c>
      <c r="H110" s="466">
        <v>2</v>
      </c>
      <c r="I110" s="409" t="s">
        <v>16</v>
      </c>
      <c r="J110" s="466">
        <v>3</v>
      </c>
      <c r="K110" s="407" t="s">
        <v>153</v>
      </c>
      <c r="L110" s="466">
        <v>1</v>
      </c>
      <c r="M110" s="407" t="s">
        <v>151</v>
      </c>
      <c r="N110" s="410"/>
      <c r="O110" s="411" t="s">
        <v>0</v>
      </c>
      <c r="P110" s="410"/>
      <c r="Q110" s="410"/>
      <c r="R110" s="411" t="s">
        <v>0</v>
      </c>
      <c r="S110" s="410"/>
      <c r="T110" s="410"/>
      <c r="U110" s="411" t="s">
        <v>0</v>
      </c>
      <c r="V110" s="410"/>
      <c r="W110" s="412"/>
      <c r="X110" s="412" t="str">
        <f t="shared" si="49"/>
        <v/>
      </c>
      <c r="Y110" s="411" t="s">
        <v>0</v>
      </c>
      <c r="Z110" s="412" t="str">
        <f t="shared" si="50"/>
        <v/>
      </c>
      <c r="AA110" s="412"/>
      <c r="AB110" s="412" t="str">
        <f t="shared" si="51"/>
        <v/>
      </c>
      <c r="AC110" s="411" t="s">
        <v>0</v>
      </c>
      <c r="AD110" s="412" t="str">
        <f t="shared" si="52"/>
        <v/>
      </c>
      <c r="AE110" s="413"/>
      <c r="AF110" s="412" t="str">
        <f t="shared" si="53"/>
        <v/>
      </c>
      <c r="AG110" s="411" t="s">
        <v>0</v>
      </c>
      <c r="AH110" s="414" t="str">
        <f t="shared" si="54"/>
        <v/>
      </c>
      <c r="AJ110" s="4" t="str">
        <f t="shared" si="57"/>
        <v>Ort</v>
      </c>
    </row>
    <row r="111" spans="1:40" ht="16.5" thickBot="1">
      <c r="A111" s="3">
        <f t="shared" si="55"/>
        <v>42</v>
      </c>
      <c r="B111" s="462" t="str">
        <f t="shared" si="56"/>
        <v>Datum</v>
      </c>
      <c r="C111" s="415" t="s">
        <v>75</v>
      </c>
      <c r="D111" s="416">
        <v>6</v>
      </c>
      <c r="E111" s="417">
        <v>1</v>
      </c>
      <c r="F111" s="417">
        <f>IF(H111&lt;21,COUNTIF(H$6:H111,"&lt;21"),"")</f>
        <v>42</v>
      </c>
      <c r="G111" s="418" t="s">
        <v>151</v>
      </c>
      <c r="H111" s="419">
        <v>1</v>
      </c>
      <c r="I111" s="420" t="s">
        <v>16</v>
      </c>
      <c r="J111" s="419">
        <v>3</v>
      </c>
      <c r="K111" s="418" t="s">
        <v>153</v>
      </c>
      <c r="L111" s="419">
        <v>2</v>
      </c>
      <c r="M111" s="418" t="s">
        <v>154</v>
      </c>
      <c r="N111" s="421"/>
      <c r="O111" s="422" t="s">
        <v>0</v>
      </c>
      <c r="P111" s="421"/>
      <c r="Q111" s="421"/>
      <c r="R111" s="422" t="s">
        <v>0</v>
      </c>
      <c r="S111" s="421"/>
      <c r="T111" s="421"/>
      <c r="U111" s="422" t="s">
        <v>0</v>
      </c>
      <c r="V111" s="421"/>
      <c r="W111" s="423"/>
      <c r="X111" s="423" t="str">
        <f t="shared" si="49"/>
        <v/>
      </c>
      <c r="Y111" s="422" t="s">
        <v>0</v>
      </c>
      <c r="Z111" s="423" t="str">
        <f t="shared" si="50"/>
        <v/>
      </c>
      <c r="AA111" s="423"/>
      <c r="AB111" s="423" t="str">
        <f t="shared" si="51"/>
        <v/>
      </c>
      <c r="AC111" s="422" t="s">
        <v>0</v>
      </c>
      <c r="AD111" s="423" t="str">
        <f t="shared" si="52"/>
        <v/>
      </c>
      <c r="AE111" s="424"/>
      <c r="AF111" s="423" t="str">
        <f t="shared" si="53"/>
        <v/>
      </c>
      <c r="AG111" s="422" t="s">
        <v>0</v>
      </c>
      <c r="AH111" s="425" t="str">
        <f t="shared" si="54"/>
        <v/>
      </c>
      <c r="AJ111" s="4" t="str">
        <f t="shared" si="57"/>
        <v>Ort</v>
      </c>
    </row>
    <row r="112" spans="1:40" ht="15.75">
      <c r="A112" s="3">
        <f t="shared" si="55"/>
        <v>43</v>
      </c>
      <c r="B112" s="462" t="str">
        <f t="shared" si="56"/>
        <v>Datum</v>
      </c>
      <c r="C112" s="360">
        <v>0.60416666666666663</v>
      </c>
      <c r="D112" s="361">
        <v>7</v>
      </c>
      <c r="E112" s="362">
        <v>1</v>
      </c>
      <c r="F112" s="362">
        <f>IF(H112&lt;21,COUNTIF(H$6:H112,"&lt;21"),"")</f>
        <v>43</v>
      </c>
      <c r="G112" s="363" t="s">
        <v>155</v>
      </c>
      <c r="H112" s="464">
        <v>7</v>
      </c>
      <c r="I112" s="365" t="s">
        <v>16</v>
      </c>
      <c r="J112" s="464">
        <v>8</v>
      </c>
      <c r="K112" s="363" t="s">
        <v>156</v>
      </c>
      <c r="L112" s="464">
        <v>9</v>
      </c>
      <c r="M112" s="363" t="s">
        <v>157</v>
      </c>
      <c r="N112" s="366"/>
      <c r="O112" s="367" t="s">
        <v>0</v>
      </c>
      <c r="P112" s="366"/>
      <c r="Q112" s="366"/>
      <c r="R112" s="367" t="s">
        <v>0</v>
      </c>
      <c r="S112" s="366"/>
      <c r="T112" s="366"/>
      <c r="U112" s="367" t="s">
        <v>0</v>
      </c>
      <c r="V112" s="366"/>
      <c r="W112" s="368"/>
      <c r="X112" s="368" t="str">
        <f t="shared" si="49"/>
        <v/>
      </c>
      <c r="Y112" s="367" t="s">
        <v>0</v>
      </c>
      <c r="Z112" s="368" t="str">
        <f t="shared" si="50"/>
        <v/>
      </c>
      <c r="AA112" s="368"/>
      <c r="AB112" s="368" t="str">
        <f t="shared" si="51"/>
        <v/>
      </c>
      <c r="AC112" s="367" t="s">
        <v>0</v>
      </c>
      <c r="AD112" s="368" t="str">
        <f t="shared" si="52"/>
        <v/>
      </c>
      <c r="AE112" s="369"/>
      <c r="AF112" s="368" t="str">
        <f t="shared" si="53"/>
        <v/>
      </c>
      <c r="AG112" s="367" t="s">
        <v>0</v>
      </c>
      <c r="AH112" s="370" t="str">
        <f t="shared" si="54"/>
        <v/>
      </c>
      <c r="AJ112" s="4" t="str">
        <f t="shared" si="57"/>
        <v>Ort</v>
      </c>
    </row>
    <row r="113" spans="1:36" ht="15.75">
      <c r="A113" s="3">
        <f t="shared" si="55"/>
        <v>44</v>
      </c>
      <c r="B113" s="462" t="str">
        <f t="shared" si="56"/>
        <v>Datum</v>
      </c>
      <c r="C113" s="371" t="s">
        <v>75</v>
      </c>
      <c r="D113" s="372">
        <v>8</v>
      </c>
      <c r="E113" s="373">
        <v>1</v>
      </c>
      <c r="F113" s="373">
        <f>IF(H113&lt;21,COUNTIF(H$6:H113,"&lt;21"),"")</f>
        <v>44</v>
      </c>
      <c r="G113" s="374" t="s">
        <v>156</v>
      </c>
      <c r="H113" s="461">
        <v>8</v>
      </c>
      <c r="I113" s="376" t="s">
        <v>16</v>
      </c>
      <c r="J113" s="461">
        <v>9</v>
      </c>
      <c r="K113" s="374" t="s">
        <v>157</v>
      </c>
      <c r="L113" s="461">
        <v>7</v>
      </c>
      <c r="M113" s="374" t="s">
        <v>155</v>
      </c>
      <c r="N113" s="377"/>
      <c r="O113" s="378" t="s">
        <v>0</v>
      </c>
      <c r="P113" s="377"/>
      <c r="Q113" s="377"/>
      <c r="R113" s="378" t="s">
        <v>0</v>
      </c>
      <c r="S113" s="377"/>
      <c r="T113" s="377"/>
      <c r="U113" s="378" t="s">
        <v>0</v>
      </c>
      <c r="V113" s="377"/>
      <c r="W113" s="379"/>
      <c r="X113" s="379" t="str">
        <f t="shared" si="49"/>
        <v/>
      </c>
      <c r="Y113" s="378" t="s">
        <v>0</v>
      </c>
      <c r="Z113" s="379" t="str">
        <f t="shared" si="50"/>
        <v/>
      </c>
      <c r="AA113" s="379"/>
      <c r="AB113" s="379" t="str">
        <f t="shared" si="51"/>
        <v/>
      </c>
      <c r="AC113" s="378" t="s">
        <v>0</v>
      </c>
      <c r="AD113" s="379" t="str">
        <f t="shared" si="52"/>
        <v/>
      </c>
      <c r="AE113" s="380"/>
      <c r="AF113" s="379" t="str">
        <f t="shared" si="53"/>
        <v/>
      </c>
      <c r="AG113" s="378" t="s">
        <v>0</v>
      </c>
      <c r="AH113" s="381" t="str">
        <f t="shared" si="54"/>
        <v/>
      </c>
      <c r="AJ113" s="4" t="str">
        <f t="shared" si="57"/>
        <v>Ort</v>
      </c>
    </row>
    <row r="114" spans="1:36" ht="16.5" thickBot="1">
      <c r="A114" s="3">
        <f t="shared" si="55"/>
        <v>45</v>
      </c>
      <c r="B114" s="462" t="str">
        <f t="shared" si="56"/>
        <v>Datum</v>
      </c>
      <c r="C114" s="382" t="s">
        <v>75</v>
      </c>
      <c r="D114" s="383">
        <v>9</v>
      </c>
      <c r="E114" s="384">
        <v>1</v>
      </c>
      <c r="F114" s="384">
        <f>IF(H114&lt;21,COUNTIF(H$6:H114,"&lt;21"),"")</f>
        <v>45</v>
      </c>
      <c r="G114" s="385" t="s">
        <v>155</v>
      </c>
      <c r="H114" s="386">
        <v>7</v>
      </c>
      <c r="I114" s="387" t="s">
        <v>16</v>
      </c>
      <c r="J114" s="386">
        <v>9</v>
      </c>
      <c r="K114" s="385" t="s">
        <v>157</v>
      </c>
      <c r="L114" s="386">
        <v>8</v>
      </c>
      <c r="M114" s="385" t="s">
        <v>156</v>
      </c>
      <c r="N114" s="388"/>
      <c r="O114" s="389" t="s">
        <v>0</v>
      </c>
      <c r="P114" s="388"/>
      <c r="Q114" s="388"/>
      <c r="R114" s="389" t="s">
        <v>0</v>
      </c>
      <c r="S114" s="388"/>
      <c r="T114" s="388"/>
      <c r="U114" s="389" t="s">
        <v>0</v>
      </c>
      <c r="V114" s="388"/>
      <c r="W114" s="390"/>
      <c r="X114" s="390" t="str">
        <f t="shared" si="49"/>
        <v/>
      </c>
      <c r="Y114" s="389" t="s">
        <v>0</v>
      </c>
      <c r="Z114" s="390" t="str">
        <f t="shared" si="50"/>
        <v/>
      </c>
      <c r="AA114" s="390"/>
      <c r="AB114" s="390" t="str">
        <f t="shared" si="51"/>
        <v/>
      </c>
      <c r="AC114" s="389" t="s">
        <v>0</v>
      </c>
      <c r="AD114" s="390" t="str">
        <f t="shared" si="52"/>
        <v/>
      </c>
      <c r="AE114" s="391"/>
      <c r="AF114" s="390" t="str">
        <f t="shared" si="53"/>
        <v/>
      </c>
      <c r="AG114" s="389" t="s">
        <v>0</v>
      </c>
      <c r="AH114" s="392" t="str">
        <f t="shared" si="54"/>
        <v/>
      </c>
      <c r="AJ114" s="4" t="str">
        <f t="shared" si="57"/>
        <v>Ort</v>
      </c>
    </row>
    <row r="115" spans="1:36" ht="15.75" hidden="1">
      <c r="A115" s="3" t="str">
        <f t="shared" si="55"/>
        <v/>
      </c>
      <c r="B115" s="351" t="str">
        <f t="shared" si="56"/>
        <v>Datum</v>
      </c>
      <c r="C115" s="41" t="s">
        <v>75</v>
      </c>
      <c r="D115" s="42"/>
      <c r="E115" s="3">
        <v>1</v>
      </c>
      <c r="F115" s="3" t="str">
        <f>IF(H115&lt;21,COUNTIF(H$6:H115,"&lt;21"),"")</f>
        <v/>
      </c>
      <c r="G115" s="7" t="str">
        <f t="shared" ref="G115:G128" si="58">IF(H115=21,"",INDEX($AM$7:$AN$22,H115,2))</f>
        <v/>
      </c>
      <c r="H115" s="350">
        <v>21</v>
      </c>
      <c r="I115" s="30" t="s">
        <v>16</v>
      </c>
      <c r="J115" s="350">
        <v>21</v>
      </c>
      <c r="K115" s="7" t="str">
        <f t="shared" ref="K115:K128" si="59">IF(J115=21,"",INDEX($AM$7:$AN$22,J115,2))</f>
        <v/>
      </c>
      <c r="L115" s="350">
        <v>21</v>
      </c>
      <c r="M115" s="7" t="str">
        <f t="shared" ref="M115:M128" si="60">IF(L115=21,"",INDEX($AM$7:$AN$22,L115,2))</f>
        <v/>
      </c>
      <c r="N115" s="39"/>
      <c r="O115" s="40" t="s">
        <v>0</v>
      </c>
      <c r="P115" s="39"/>
      <c r="Q115" s="39"/>
      <c r="R115" s="40" t="s">
        <v>0</v>
      </c>
      <c r="S115" s="39"/>
      <c r="T115" s="39"/>
      <c r="U115" s="40" t="s">
        <v>0</v>
      </c>
      <c r="V115" s="39"/>
      <c r="W115" s="38"/>
      <c r="X115" s="38" t="str">
        <f t="shared" si="49"/>
        <v/>
      </c>
      <c r="Y115" s="40" t="s">
        <v>0</v>
      </c>
      <c r="Z115" s="38" t="str">
        <f t="shared" si="50"/>
        <v/>
      </c>
      <c r="AA115" s="38"/>
      <c r="AB115" s="38" t="str">
        <f t="shared" si="51"/>
        <v/>
      </c>
      <c r="AC115" s="40" t="s">
        <v>0</v>
      </c>
      <c r="AD115" s="38" t="str">
        <f t="shared" si="52"/>
        <v/>
      </c>
      <c r="AE115" s="57"/>
      <c r="AF115" s="38" t="str">
        <f t="shared" si="53"/>
        <v/>
      </c>
      <c r="AG115" s="40" t="s">
        <v>0</v>
      </c>
      <c r="AH115" s="38" t="str">
        <f t="shared" si="54"/>
        <v/>
      </c>
      <c r="AJ115" s="4" t="str">
        <f t="shared" si="57"/>
        <v>Ort</v>
      </c>
    </row>
    <row r="116" spans="1:36" ht="15.75" hidden="1">
      <c r="A116" s="3" t="str">
        <f t="shared" si="55"/>
        <v/>
      </c>
      <c r="B116" s="351" t="str">
        <f t="shared" si="56"/>
        <v>Datum</v>
      </c>
      <c r="C116" s="41" t="s">
        <v>75</v>
      </c>
      <c r="D116" s="42"/>
      <c r="E116" s="3">
        <v>1</v>
      </c>
      <c r="F116" s="3" t="str">
        <f>IF(H116&lt;21,COUNTIF(H$6:H116,"&lt;21"),"")</f>
        <v/>
      </c>
      <c r="G116" s="7" t="str">
        <f t="shared" si="58"/>
        <v/>
      </c>
      <c r="H116" s="350">
        <v>21</v>
      </c>
      <c r="I116" s="30" t="s">
        <v>16</v>
      </c>
      <c r="J116" s="350">
        <v>21</v>
      </c>
      <c r="K116" s="7" t="str">
        <f t="shared" si="59"/>
        <v/>
      </c>
      <c r="L116" s="350">
        <v>21</v>
      </c>
      <c r="M116" s="7" t="str">
        <f t="shared" si="60"/>
        <v/>
      </c>
      <c r="N116" s="39"/>
      <c r="O116" s="40" t="s">
        <v>0</v>
      </c>
      <c r="P116" s="39"/>
      <c r="Q116" s="39"/>
      <c r="R116" s="40" t="s">
        <v>0</v>
      </c>
      <c r="S116" s="39"/>
      <c r="T116" s="39"/>
      <c r="U116" s="40" t="s">
        <v>0</v>
      </c>
      <c r="V116" s="39"/>
      <c r="W116" s="38"/>
      <c r="X116" s="38" t="str">
        <f t="shared" si="49"/>
        <v/>
      </c>
      <c r="Y116" s="40" t="s">
        <v>0</v>
      </c>
      <c r="Z116" s="38" t="str">
        <f t="shared" si="50"/>
        <v/>
      </c>
      <c r="AA116" s="38"/>
      <c r="AB116" s="38" t="str">
        <f t="shared" si="51"/>
        <v/>
      </c>
      <c r="AC116" s="40" t="s">
        <v>0</v>
      </c>
      <c r="AD116" s="38" t="str">
        <f t="shared" si="52"/>
        <v/>
      </c>
      <c r="AE116" s="57"/>
      <c r="AF116" s="38" t="str">
        <f t="shared" si="53"/>
        <v/>
      </c>
      <c r="AG116" s="40" t="s">
        <v>0</v>
      </c>
      <c r="AH116" s="38" t="str">
        <f t="shared" si="54"/>
        <v/>
      </c>
      <c r="AJ116" s="4" t="str">
        <f t="shared" si="57"/>
        <v>Ort</v>
      </c>
    </row>
    <row r="117" spans="1:36" ht="15.75" hidden="1">
      <c r="A117" s="3" t="str">
        <f t="shared" si="55"/>
        <v/>
      </c>
      <c r="B117" s="351" t="str">
        <f t="shared" si="56"/>
        <v>Datum</v>
      </c>
      <c r="C117" s="41" t="s">
        <v>75</v>
      </c>
      <c r="D117" s="42"/>
      <c r="E117" s="3">
        <v>1</v>
      </c>
      <c r="F117" s="3" t="str">
        <f>IF(H117&lt;21,COUNTIF(H$6:H117,"&lt;21"),"")</f>
        <v/>
      </c>
      <c r="G117" s="7" t="str">
        <f t="shared" si="58"/>
        <v/>
      </c>
      <c r="H117" s="350">
        <v>21</v>
      </c>
      <c r="I117" s="30" t="s">
        <v>16</v>
      </c>
      <c r="J117" s="350">
        <v>21</v>
      </c>
      <c r="K117" s="7" t="str">
        <f t="shared" si="59"/>
        <v/>
      </c>
      <c r="L117" s="350">
        <v>21</v>
      </c>
      <c r="M117" s="7" t="str">
        <f t="shared" si="60"/>
        <v/>
      </c>
      <c r="N117" s="39"/>
      <c r="O117" s="40" t="s">
        <v>0</v>
      </c>
      <c r="P117" s="39"/>
      <c r="Q117" s="39"/>
      <c r="R117" s="40" t="s">
        <v>0</v>
      </c>
      <c r="S117" s="39"/>
      <c r="T117" s="39"/>
      <c r="U117" s="40" t="s">
        <v>0</v>
      </c>
      <c r="V117" s="39"/>
      <c r="W117" s="38"/>
      <c r="X117" s="38" t="str">
        <f t="shared" si="49"/>
        <v/>
      </c>
      <c r="Y117" s="40" t="s">
        <v>0</v>
      </c>
      <c r="Z117" s="38" t="str">
        <f t="shared" si="50"/>
        <v/>
      </c>
      <c r="AA117" s="38"/>
      <c r="AB117" s="38" t="str">
        <f t="shared" si="51"/>
        <v/>
      </c>
      <c r="AC117" s="40" t="s">
        <v>0</v>
      </c>
      <c r="AD117" s="38" t="str">
        <f t="shared" si="52"/>
        <v/>
      </c>
      <c r="AE117" s="57"/>
      <c r="AF117" s="38" t="str">
        <f t="shared" si="53"/>
        <v/>
      </c>
      <c r="AG117" s="40" t="s">
        <v>0</v>
      </c>
      <c r="AH117" s="38" t="str">
        <f t="shared" si="54"/>
        <v/>
      </c>
      <c r="AJ117" s="4" t="str">
        <f t="shared" si="57"/>
        <v>Ort</v>
      </c>
    </row>
    <row r="118" spans="1:36" ht="15.75" hidden="1">
      <c r="A118" s="3" t="str">
        <f t="shared" si="55"/>
        <v/>
      </c>
      <c r="B118" s="351" t="str">
        <f t="shared" si="56"/>
        <v>Datum</v>
      </c>
      <c r="C118" s="41" t="s">
        <v>75</v>
      </c>
      <c r="D118" s="42"/>
      <c r="E118" s="3">
        <v>1</v>
      </c>
      <c r="F118" s="3" t="str">
        <f>IF(H118&lt;21,COUNTIF(H$6:H118,"&lt;21"),"")</f>
        <v/>
      </c>
      <c r="G118" s="7" t="str">
        <f t="shared" si="58"/>
        <v/>
      </c>
      <c r="H118" s="350">
        <v>21</v>
      </c>
      <c r="I118" s="30" t="s">
        <v>16</v>
      </c>
      <c r="J118" s="350">
        <v>21</v>
      </c>
      <c r="K118" s="7" t="str">
        <f t="shared" si="59"/>
        <v/>
      </c>
      <c r="L118" s="350">
        <v>21</v>
      </c>
      <c r="M118" s="7" t="str">
        <f t="shared" si="60"/>
        <v/>
      </c>
      <c r="N118" s="39"/>
      <c r="O118" s="40" t="s">
        <v>0</v>
      </c>
      <c r="P118" s="39"/>
      <c r="Q118" s="39"/>
      <c r="R118" s="40" t="s">
        <v>0</v>
      </c>
      <c r="S118" s="39"/>
      <c r="T118" s="39"/>
      <c r="U118" s="40" t="s">
        <v>0</v>
      </c>
      <c r="V118" s="39"/>
      <c r="W118" s="38"/>
      <c r="X118" s="38" t="str">
        <f t="shared" si="49"/>
        <v/>
      </c>
      <c r="Y118" s="40" t="s">
        <v>0</v>
      </c>
      <c r="Z118" s="38" t="str">
        <f t="shared" si="50"/>
        <v/>
      </c>
      <c r="AA118" s="38"/>
      <c r="AB118" s="38" t="str">
        <f t="shared" si="51"/>
        <v/>
      </c>
      <c r="AC118" s="40" t="s">
        <v>0</v>
      </c>
      <c r="AD118" s="38" t="str">
        <f t="shared" si="52"/>
        <v/>
      </c>
      <c r="AE118" s="57"/>
      <c r="AF118" s="38" t="str">
        <f t="shared" si="53"/>
        <v/>
      </c>
      <c r="AG118" s="40" t="s">
        <v>0</v>
      </c>
      <c r="AH118" s="38" t="str">
        <f t="shared" si="54"/>
        <v/>
      </c>
      <c r="AJ118" s="4" t="str">
        <f t="shared" si="57"/>
        <v>Ort</v>
      </c>
    </row>
    <row r="119" spans="1:36" ht="15.75" hidden="1">
      <c r="A119" s="3" t="str">
        <f t="shared" si="55"/>
        <v/>
      </c>
      <c r="B119" s="351" t="str">
        <f t="shared" si="56"/>
        <v>Datum</v>
      </c>
      <c r="C119" s="41" t="s">
        <v>75</v>
      </c>
      <c r="D119" s="42"/>
      <c r="E119" s="3">
        <v>1</v>
      </c>
      <c r="F119" s="3" t="str">
        <f>IF(H119&lt;21,COUNTIF(H$6:H119,"&lt;21"),"")</f>
        <v/>
      </c>
      <c r="G119" s="7" t="str">
        <f t="shared" si="58"/>
        <v/>
      </c>
      <c r="H119" s="350">
        <v>21</v>
      </c>
      <c r="I119" s="30" t="s">
        <v>16</v>
      </c>
      <c r="J119" s="350">
        <v>21</v>
      </c>
      <c r="K119" s="7" t="str">
        <f t="shared" si="59"/>
        <v/>
      </c>
      <c r="L119" s="350">
        <v>21</v>
      </c>
      <c r="M119" s="7" t="str">
        <f t="shared" si="60"/>
        <v/>
      </c>
      <c r="N119" s="39"/>
      <c r="O119" s="40" t="s">
        <v>0</v>
      </c>
      <c r="P119" s="39"/>
      <c r="Q119" s="39"/>
      <c r="R119" s="40" t="s">
        <v>0</v>
      </c>
      <c r="S119" s="39"/>
      <c r="T119" s="39"/>
      <c r="U119" s="40" t="s">
        <v>0</v>
      </c>
      <c r="V119" s="39"/>
      <c r="W119" s="38"/>
      <c r="X119" s="38" t="str">
        <f t="shared" si="49"/>
        <v/>
      </c>
      <c r="Y119" s="40" t="s">
        <v>0</v>
      </c>
      <c r="Z119" s="38" t="str">
        <f t="shared" si="50"/>
        <v/>
      </c>
      <c r="AA119" s="38"/>
      <c r="AB119" s="38" t="str">
        <f t="shared" si="51"/>
        <v/>
      </c>
      <c r="AC119" s="40" t="s">
        <v>0</v>
      </c>
      <c r="AD119" s="38" t="str">
        <f t="shared" si="52"/>
        <v/>
      </c>
      <c r="AE119" s="57"/>
      <c r="AF119" s="38" t="str">
        <f t="shared" si="53"/>
        <v/>
      </c>
      <c r="AG119" s="40" t="s">
        <v>0</v>
      </c>
      <c r="AH119" s="38" t="str">
        <f t="shared" si="54"/>
        <v/>
      </c>
      <c r="AJ119" s="4" t="str">
        <f t="shared" si="57"/>
        <v>Ort</v>
      </c>
    </row>
    <row r="120" spans="1:36" ht="15.75" hidden="1">
      <c r="A120" s="3" t="str">
        <f t="shared" si="55"/>
        <v/>
      </c>
      <c r="B120" s="351" t="str">
        <f t="shared" si="56"/>
        <v>Datum</v>
      </c>
      <c r="C120" s="41" t="s">
        <v>75</v>
      </c>
      <c r="D120" s="42"/>
      <c r="E120" s="3">
        <v>1</v>
      </c>
      <c r="F120" s="3" t="str">
        <f>IF(H120&lt;21,COUNTIF(H$6:H120,"&lt;21"),"")</f>
        <v/>
      </c>
      <c r="G120" s="7" t="str">
        <f t="shared" si="58"/>
        <v/>
      </c>
      <c r="H120" s="350">
        <v>21</v>
      </c>
      <c r="I120" s="30" t="s">
        <v>16</v>
      </c>
      <c r="J120" s="350">
        <v>21</v>
      </c>
      <c r="K120" s="7" t="str">
        <f t="shared" si="59"/>
        <v/>
      </c>
      <c r="L120" s="350">
        <v>21</v>
      </c>
      <c r="M120" s="7" t="str">
        <f t="shared" si="60"/>
        <v/>
      </c>
      <c r="N120" s="39"/>
      <c r="O120" s="40" t="s">
        <v>0</v>
      </c>
      <c r="P120" s="39"/>
      <c r="Q120" s="39"/>
      <c r="R120" s="40" t="s">
        <v>0</v>
      </c>
      <c r="S120" s="39"/>
      <c r="T120" s="39"/>
      <c r="U120" s="40" t="s">
        <v>0</v>
      </c>
      <c r="V120" s="39"/>
      <c r="W120" s="38"/>
      <c r="X120" s="38" t="str">
        <f t="shared" si="49"/>
        <v/>
      </c>
      <c r="Y120" s="40" t="s">
        <v>0</v>
      </c>
      <c r="Z120" s="38" t="str">
        <f t="shared" si="50"/>
        <v/>
      </c>
      <c r="AA120" s="38"/>
      <c r="AB120" s="38" t="str">
        <f t="shared" si="51"/>
        <v/>
      </c>
      <c r="AC120" s="40" t="s">
        <v>0</v>
      </c>
      <c r="AD120" s="38" t="str">
        <f t="shared" si="52"/>
        <v/>
      </c>
      <c r="AE120" s="57"/>
      <c r="AF120" s="38" t="str">
        <f t="shared" si="53"/>
        <v/>
      </c>
      <c r="AG120" s="40" t="s">
        <v>0</v>
      </c>
      <c r="AH120" s="38" t="str">
        <f t="shared" si="54"/>
        <v/>
      </c>
      <c r="AJ120" s="4" t="str">
        <f t="shared" si="57"/>
        <v>Ort</v>
      </c>
    </row>
    <row r="121" spans="1:36" ht="15.75" hidden="1">
      <c r="A121" s="3" t="str">
        <f t="shared" si="55"/>
        <v/>
      </c>
      <c r="B121" s="351" t="str">
        <f t="shared" si="56"/>
        <v>Datum</v>
      </c>
      <c r="C121" s="41" t="s">
        <v>75</v>
      </c>
      <c r="D121" s="42"/>
      <c r="E121" s="3">
        <v>1</v>
      </c>
      <c r="F121" s="3" t="str">
        <f>IF(H121&lt;21,COUNTIF(H$6:H121,"&lt;21"),"")</f>
        <v/>
      </c>
      <c r="G121" s="7" t="str">
        <f t="shared" si="58"/>
        <v/>
      </c>
      <c r="H121" s="350">
        <v>21</v>
      </c>
      <c r="I121" s="30" t="s">
        <v>16</v>
      </c>
      <c r="J121" s="350">
        <v>21</v>
      </c>
      <c r="K121" s="7" t="str">
        <f t="shared" si="59"/>
        <v/>
      </c>
      <c r="L121" s="350">
        <v>21</v>
      </c>
      <c r="M121" s="7" t="str">
        <f t="shared" si="60"/>
        <v/>
      </c>
      <c r="N121" s="39"/>
      <c r="O121" s="40" t="s">
        <v>0</v>
      </c>
      <c r="P121" s="39"/>
      <c r="Q121" s="39"/>
      <c r="R121" s="40" t="s">
        <v>0</v>
      </c>
      <c r="S121" s="39"/>
      <c r="T121" s="39"/>
      <c r="U121" s="40" t="s">
        <v>0</v>
      </c>
      <c r="V121" s="39"/>
      <c r="W121" s="38"/>
      <c r="X121" s="38" t="str">
        <f t="shared" si="49"/>
        <v/>
      </c>
      <c r="Y121" s="40" t="s">
        <v>0</v>
      </c>
      <c r="Z121" s="38" t="str">
        <f t="shared" si="50"/>
        <v/>
      </c>
      <c r="AA121" s="38"/>
      <c r="AB121" s="38" t="str">
        <f t="shared" si="51"/>
        <v/>
      </c>
      <c r="AC121" s="40" t="s">
        <v>0</v>
      </c>
      <c r="AD121" s="38" t="str">
        <f t="shared" si="52"/>
        <v/>
      </c>
      <c r="AE121" s="57"/>
      <c r="AF121" s="38" t="str">
        <f t="shared" si="53"/>
        <v/>
      </c>
      <c r="AG121" s="40" t="s">
        <v>0</v>
      </c>
      <c r="AH121" s="38" t="str">
        <f t="shared" si="54"/>
        <v/>
      </c>
      <c r="AJ121" s="4" t="str">
        <f t="shared" si="57"/>
        <v>Ort</v>
      </c>
    </row>
    <row r="122" spans="1:36" ht="15.75" hidden="1">
      <c r="A122" s="3" t="str">
        <f t="shared" si="55"/>
        <v/>
      </c>
      <c r="B122" s="351" t="str">
        <f t="shared" si="56"/>
        <v>Datum</v>
      </c>
      <c r="C122" s="41" t="s">
        <v>75</v>
      </c>
      <c r="D122" s="42"/>
      <c r="E122" s="3">
        <v>1</v>
      </c>
      <c r="F122" s="3" t="str">
        <f>IF(H122&lt;21,COUNTIF(H$6:H122,"&lt;21"),"")</f>
        <v/>
      </c>
      <c r="G122" s="7" t="str">
        <f t="shared" si="58"/>
        <v/>
      </c>
      <c r="H122" s="350">
        <v>21</v>
      </c>
      <c r="I122" s="30" t="s">
        <v>16</v>
      </c>
      <c r="J122" s="350">
        <v>21</v>
      </c>
      <c r="K122" s="7" t="str">
        <f t="shared" si="59"/>
        <v/>
      </c>
      <c r="L122" s="350">
        <v>21</v>
      </c>
      <c r="M122" s="7" t="str">
        <f t="shared" si="60"/>
        <v/>
      </c>
      <c r="N122" s="39"/>
      <c r="O122" s="40" t="s">
        <v>0</v>
      </c>
      <c r="P122" s="39"/>
      <c r="Q122" s="39"/>
      <c r="R122" s="40" t="s">
        <v>0</v>
      </c>
      <c r="S122" s="39"/>
      <c r="T122" s="39"/>
      <c r="U122" s="40" t="s">
        <v>0</v>
      </c>
      <c r="V122" s="39"/>
      <c r="W122" s="38"/>
      <c r="X122" s="38" t="str">
        <f t="shared" si="49"/>
        <v/>
      </c>
      <c r="Y122" s="40" t="s">
        <v>0</v>
      </c>
      <c r="Z122" s="38" t="str">
        <f t="shared" si="50"/>
        <v/>
      </c>
      <c r="AA122" s="38"/>
      <c r="AB122" s="38" t="str">
        <f t="shared" si="51"/>
        <v/>
      </c>
      <c r="AC122" s="40" t="s">
        <v>0</v>
      </c>
      <c r="AD122" s="38" t="str">
        <f t="shared" si="52"/>
        <v/>
      </c>
      <c r="AE122" s="57"/>
      <c r="AF122" s="38" t="str">
        <f t="shared" si="53"/>
        <v/>
      </c>
      <c r="AG122" s="40" t="s">
        <v>0</v>
      </c>
      <c r="AH122" s="38" t="str">
        <f t="shared" si="54"/>
        <v/>
      </c>
      <c r="AJ122" s="4" t="str">
        <f t="shared" si="57"/>
        <v>Ort</v>
      </c>
    </row>
    <row r="123" spans="1:36" ht="15.75" hidden="1">
      <c r="A123" s="3" t="str">
        <f t="shared" si="55"/>
        <v/>
      </c>
      <c r="B123" s="351" t="str">
        <f t="shared" si="56"/>
        <v>Datum</v>
      </c>
      <c r="C123" s="41" t="s">
        <v>75</v>
      </c>
      <c r="D123" s="42"/>
      <c r="E123" s="3">
        <v>1</v>
      </c>
      <c r="F123" s="3" t="str">
        <f>IF(H123&lt;21,COUNTIF(H$6:H123,"&lt;21"),"")</f>
        <v/>
      </c>
      <c r="G123" s="7" t="str">
        <f t="shared" si="58"/>
        <v/>
      </c>
      <c r="H123" s="350">
        <v>21</v>
      </c>
      <c r="I123" s="30" t="s">
        <v>16</v>
      </c>
      <c r="J123" s="350">
        <v>21</v>
      </c>
      <c r="K123" s="7" t="str">
        <f t="shared" si="59"/>
        <v/>
      </c>
      <c r="L123" s="350">
        <v>21</v>
      </c>
      <c r="M123" s="7" t="str">
        <f t="shared" si="60"/>
        <v/>
      </c>
      <c r="N123" s="39"/>
      <c r="O123" s="40" t="s">
        <v>0</v>
      </c>
      <c r="P123" s="39"/>
      <c r="Q123" s="39"/>
      <c r="R123" s="40" t="s">
        <v>0</v>
      </c>
      <c r="S123" s="39"/>
      <c r="T123" s="39"/>
      <c r="U123" s="40" t="s">
        <v>0</v>
      </c>
      <c r="V123" s="39"/>
      <c r="W123" s="38"/>
      <c r="X123" s="38" t="str">
        <f t="shared" si="49"/>
        <v/>
      </c>
      <c r="Y123" s="40" t="s">
        <v>0</v>
      </c>
      <c r="Z123" s="38" t="str">
        <f t="shared" si="50"/>
        <v/>
      </c>
      <c r="AA123" s="38"/>
      <c r="AB123" s="38" t="str">
        <f t="shared" si="51"/>
        <v/>
      </c>
      <c r="AC123" s="40" t="s">
        <v>0</v>
      </c>
      <c r="AD123" s="38" t="str">
        <f t="shared" si="52"/>
        <v/>
      </c>
      <c r="AE123" s="57"/>
      <c r="AF123" s="38" t="str">
        <f t="shared" si="53"/>
        <v/>
      </c>
      <c r="AG123" s="40" t="s">
        <v>0</v>
      </c>
      <c r="AH123" s="38" t="str">
        <f t="shared" si="54"/>
        <v/>
      </c>
      <c r="AJ123" s="4" t="str">
        <f t="shared" si="57"/>
        <v>Ort</v>
      </c>
    </row>
    <row r="124" spans="1:36" ht="15.75" hidden="1">
      <c r="A124" s="3" t="str">
        <f t="shared" si="55"/>
        <v/>
      </c>
      <c r="B124" s="351" t="str">
        <f t="shared" si="56"/>
        <v>Datum</v>
      </c>
      <c r="C124" s="41" t="s">
        <v>75</v>
      </c>
      <c r="D124" s="42"/>
      <c r="E124" s="3">
        <v>1</v>
      </c>
      <c r="F124" s="3" t="str">
        <f>IF(H124&lt;21,COUNTIF(H$6:H124,"&lt;21"),"")</f>
        <v/>
      </c>
      <c r="G124" s="7" t="str">
        <f t="shared" si="58"/>
        <v/>
      </c>
      <c r="H124" s="350">
        <v>21</v>
      </c>
      <c r="I124" s="30" t="s">
        <v>16</v>
      </c>
      <c r="J124" s="350">
        <v>21</v>
      </c>
      <c r="K124" s="7" t="str">
        <f t="shared" si="59"/>
        <v/>
      </c>
      <c r="L124" s="350">
        <v>21</v>
      </c>
      <c r="M124" s="7" t="str">
        <f t="shared" si="60"/>
        <v/>
      </c>
      <c r="N124" s="39"/>
      <c r="O124" s="40" t="s">
        <v>0</v>
      </c>
      <c r="P124" s="39"/>
      <c r="Q124" s="39"/>
      <c r="R124" s="40" t="s">
        <v>0</v>
      </c>
      <c r="S124" s="39"/>
      <c r="T124" s="39"/>
      <c r="U124" s="40" t="s">
        <v>0</v>
      </c>
      <c r="V124" s="39"/>
      <c r="W124" s="38"/>
      <c r="X124" s="38" t="str">
        <f t="shared" si="49"/>
        <v/>
      </c>
      <c r="Y124" s="40" t="s">
        <v>0</v>
      </c>
      <c r="Z124" s="38" t="str">
        <f t="shared" si="50"/>
        <v/>
      </c>
      <c r="AA124" s="38"/>
      <c r="AB124" s="38" t="str">
        <f t="shared" si="51"/>
        <v/>
      </c>
      <c r="AC124" s="40" t="s">
        <v>0</v>
      </c>
      <c r="AD124" s="38" t="str">
        <f t="shared" si="52"/>
        <v/>
      </c>
      <c r="AE124" s="57"/>
      <c r="AF124" s="38" t="str">
        <f t="shared" si="53"/>
        <v/>
      </c>
      <c r="AG124" s="40" t="s">
        <v>0</v>
      </c>
      <c r="AH124" s="38" t="str">
        <f t="shared" si="54"/>
        <v/>
      </c>
      <c r="AJ124" s="4" t="str">
        <f t="shared" si="57"/>
        <v>Ort</v>
      </c>
    </row>
    <row r="125" spans="1:36" ht="15.75" hidden="1">
      <c r="A125" s="3" t="str">
        <f t="shared" si="55"/>
        <v/>
      </c>
      <c r="B125" s="351" t="str">
        <f t="shared" si="56"/>
        <v>Datum</v>
      </c>
      <c r="C125" s="41" t="s">
        <v>75</v>
      </c>
      <c r="D125" s="42"/>
      <c r="E125" s="3">
        <v>1</v>
      </c>
      <c r="F125" s="3" t="str">
        <f>IF(H125&lt;21,COUNTIF(H$6:H125,"&lt;21"),"")</f>
        <v/>
      </c>
      <c r="G125" s="7" t="str">
        <f t="shared" si="58"/>
        <v/>
      </c>
      <c r="H125" s="350">
        <v>21</v>
      </c>
      <c r="I125" s="30" t="s">
        <v>16</v>
      </c>
      <c r="J125" s="350">
        <v>21</v>
      </c>
      <c r="K125" s="7" t="str">
        <f t="shared" si="59"/>
        <v/>
      </c>
      <c r="L125" s="350">
        <v>21</v>
      </c>
      <c r="M125" s="7" t="str">
        <f t="shared" si="60"/>
        <v/>
      </c>
      <c r="N125" s="39"/>
      <c r="O125" s="40" t="s">
        <v>0</v>
      </c>
      <c r="P125" s="39"/>
      <c r="Q125" s="39"/>
      <c r="R125" s="40" t="s">
        <v>0</v>
      </c>
      <c r="S125" s="39"/>
      <c r="T125" s="39"/>
      <c r="U125" s="40" t="s">
        <v>0</v>
      </c>
      <c r="V125" s="39"/>
      <c r="W125" s="38"/>
      <c r="X125" s="38" t="str">
        <f t="shared" si="49"/>
        <v/>
      </c>
      <c r="Y125" s="40" t="s">
        <v>0</v>
      </c>
      <c r="Z125" s="38" t="str">
        <f t="shared" si="50"/>
        <v/>
      </c>
      <c r="AA125" s="38"/>
      <c r="AB125" s="38" t="str">
        <f t="shared" si="51"/>
        <v/>
      </c>
      <c r="AC125" s="40" t="s">
        <v>0</v>
      </c>
      <c r="AD125" s="38" t="str">
        <f t="shared" si="52"/>
        <v/>
      </c>
      <c r="AE125" s="57"/>
      <c r="AF125" s="38" t="str">
        <f t="shared" si="53"/>
        <v/>
      </c>
      <c r="AG125" s="40" t="s">
        <v>0</v>
      </c>
      <c r="AH125" s="38" t="str">
        <f t="shared" si="54"/>
        <v/>
      </c>
      <c r="AJ125" s="4" t="str">
        <f t="shared" si="57"/>
        <v>Ort</v>
      </c>
    </row>
    <row r="126" spans="1:36" ht="15.75" hidden="1">
      <c r="A126" s="3" t="str">
        <f t="shared" si="55"/>
        <v/>
      </c>
      <c r="B126" s="351" t="str">
        <f t="shared" si="56"/>
        <v>Datum</v>
      </c>
      <c r="C126" s="41" t="s">
        <v>75</v>
      </c>
      <c r="D126" s="42"/>
      <c r="E126" s="3">
        <v>1</v>
      </c>
      <c r="F126" s="3" t="str">
        <f>IF(H126&lt;21,COUNTIF(H$6:H126,"&lt;21"),"")</f>
        <v/>
      </c>
      <c r="G126" s="7" t="str">
        <f t="shared" si="58"/>
        <v/>
      </c>
      <c r="H126" s="350">
        <v>21</v>
      </c>
      <c r="I126" s="30" t="s">
        <v>16</v>
      </c>
      <c r="J126" s="350">
        <v>21</v>
      </c>
      <c r="K126" s="7" t="str">
        <f t="shared" si="59"/>
        <v/>
      </c>
      <c r="L126" s="350">
        <v>21</v>
      </c>
      <c r="M126" s="7" t="str">
        <f t="shared" si="60"/>
        <v/>
      </c>
      <c r="N126" s="39"/>
      <c r="O126" s="40" t="s">
        <v>0</v>
      </c>
      <c r="P126" s="39"/>
      <c r="Q126" s="39"/>
      <c r="R126" s="40" t="s">
        <v>0</v>
      </c>
      <c r="S126" s="39"/>
      <c r="T126" s="39"/>
      <c r="U126" s="40" t="s">
        <v>0</v>
      </c>
      <c r="V126" s="39"/>
      <c r="W126" s="38"/>
      <c r="X126" s="38" t="str">
        <f t="shared" si="49"/>
        <v/>
      </c>
      <c r="Y126" s="40" t="s">
        <v>0</v>
      </c>
      <c r="Z126" s="38" t="str">
        <f t="shared" si="50"/>
        <v/>
      </c>
      <c r="AA126" s="38"/>
      <c r="AB126" s="38" t="str">
        <f t="shared" si="51"/>
        <v/>
      </c>
      <c r="AC126" s="40" t="s">
        <v>0</v>
      </c>
      <c r="AD126" s="38" t="str">
        <f t="shared" si="52"/>
        <v/>
      </c>
      <c r="AE126" s="57"/>
      <c r="AF126" s="38" t="str">
        <f t="shared" si="53"/>
        <v/>
      </c>
      <c r="AG126" s="40" t="s">
        <v>0</v>
      </c>
      <c r="AH126" s="38" t="str">
        <f t="shared" si="54"/>
        <v/>
      </c>
      <c r="AJ126" s="4" t="str">
        <f t="shared" si="57"/>
        <v>Ort</v>
      </c>
    </row>
    <row r="127" spans="1:36" ht="15.75" hidden="1">
      <c r="A127" s="3" t="str">
        <f t="shared" si="55"/>
        <v/>
      </c>
      <c r="B127" s="351" t="str">
        <f t="shared" si="56"/>
        <v>Datum</v>
      </c>
      <c r="C127" s="41" t="s">
        <v>75</v>
      </c>
      <c r="D127" s="42"/>
      <c r="E127" s="3">
        <v>1</v>
      </c>
      <c r="F127" s="3" t="str">
        <f>IF(H127&lt;21,COUNTIF(H$6:H127,"&lt;21"),"")</f>
        <v/>
      </c>
      <c r="G127" s="7" t="str">
        <f t="shared" si="58"/>
        <v/>
      </c>
      <c r="H127" s="350">
        <v>21</v>
      </c>
      <c r="I127" s="30" t="s">
        <v>16</v>
      </c>
      <c r="J127" s="350">
        <v>21</v>
      </c>
      <c r="K127" s="7" t="str">
        <f t="shared" si="59"/>
        <v/>
      </c>
      <c r="L127" s="350">
        <v>21</v>
      </c>
      <c r="M127" s="7" t="str">
        <f t="shared" si="60"/>
        <v/>
      </c>
      <c r="N127" s="39"/>
      <c r="O127" s="40" t="s">
        <v>0</v>
      </c>
      <c r="P127" s="39"/>
      <c r="Q127" s="39"/>
      <c r="R127" s="40" t="s">
        <v>0</v>
      </c>
      <c r="S127" s="39"/>
      <c r="T127" s="39"/>
      <c r="U127" s="40" t="s">
        <v>0</v>
      </c>
      <c r="V127" s="39"/>
      <c r="W127" s="38"/>
      <c r="X127" s="38" t="str">
        <f t="shared" si="49"/>
        <v/>
      </c>
      <c r="Y127" s="40" t="s">
        <v>0</v>
      </c>
      <c r="Z127" s="38" t="str">
        <f t="shared" si="50"/>
        <v/>
      </c>
      <c r="AA127" s="38"/>
      <c r="AB127" s="38" t="str">
        <f t="shared" si="51"/>
        <v/>
      </c>
      <c r="AC127" s="40" t="s">
        <v>0</v>
      </c>
      <c r="AD127" s="38" t="str">
        <f t="shared" si="52"/>
        <v/>
      </c>
      <c r="AE127" s="57"/>
      <c r="AF127" s="38" t="str">
        <f t="shared" si="53"/>
        <v/>
      </c>
      <c r="AG127" s="40" t="s">
        <v>0</v>
      </c>
      <c r="AH127" s="38" t="str">
        <f t="shared" si="54"/>
        <v/>
      </c>
      <c r="AJ127" s="4" t="str">
        <f t="shared" si="57"/>
        <v>Ort</v>
      </c>
    </row>
    <row r="128" spans="1:36" ht="15.75" hidden="1">
      <c r="A128" s="352" t="str">
        <f t="shared" si="55"/>
        <v/>
      </c>
      <c r="B128" s="351" t="str">
        <f t="shared" si="56"/>
        <v>Datum</v>
      </c>
      <c r="C128" s="41" t="s">
        <v>75</v>
      </c>
      <c r="D128" s="42"/>
      <c r="E128" s="3">
        <v>1</v>
      </c>
      <c r="F128" s="3" t="str">
        <f>IF(H128&lt;21,COUNTIF(H$6:H128,"&lt;21"),"")</f>
        <v/>
      </c>
      <c r="G128" s="7" t="str">
        <f t="shared" si="58"/>
        <v/>
      </c>
      <c r="H128" s="350">
        <v>21</v>
      </c>
      <c r="I128" s="30" t="s">
        <v>16</v>
      </c>
      <c r="J128" s="350">
        <v>21</v>
      </c>
      <c r="K128" s="7" t="str">
        <f t="shared" si="59"/>
        <v/>
      </c>
      <c r="L128" s="350">
        <v>21</v>
      </c>
      <c r="M128" s="7" t="str">
        <f t="shared" si="60"/>
        <v/>
      </c>
      <c r="N128" s="39"/>
      <c r="O128" s="40" t="s">
        <v>0</v>
      </c>
      <c r="P128" s="39"/>
      <c r="Q128" s="39"/>
      <c r="R128" s="40" t="s">
        <v>0</v>
      </c>
      <c r="S128" s="39"/>
      <c r="T128" s="39"/>
      <c r="U128" s="40" t="s">
        <v>0</v>
      </c>
      <c r="V128" s="39"/>
      <c r="W128" s="38"/>
      <c r="X128" s="38" t="str">
        <f t="shared" si="49"/>
        <v/>
      </c>
      <c r="Y128" s="40" t="s">
        <v>0</v>
      </c>
      <c r="Z128" s="38" t="str">
        <f t="shared" si="50"/>
        <v/>
      </c>
      <c r="AA128" s="38"/>
      <c r="AB128" s="38" t="str">
        <f t="shared" si="51"/>
        <v/>
      </c>
      <c r="AC128" s="40" t="s">
        <v>0</v>
      </c>
      <c r="AD128" s="38" t="str">
        <f t="shared" si="52"/>
        <v/>
      </c>
      <c r="AE128" s="57"/>
      <c r="AF128" s="38" t="str">
        <f t="shared" si="53"/>
        <v/>
      </c>
      <c r="AG128" s="40" t="s">
        <v>0</v>
      </c>
      <c r="AH128" s="38" t="str">
        <f t="shared" si="54"/>
        <v/>
      </c>
      <c r="AJ128" s="4" t="str">
        <f t="shared" si="57"/>
        <v>Ort</v>
      </c>
    </row>
    <row r="129" spans="1:40">
      <c r="A129" s="353"/>
      <c r="W129" s="35"/>
      <c r="X129" s="35"/>
      <c r="Y129" s="35"/>
      <c r="Z129" s="35"/>
      <c r="AE129" s="58"/>
    </row>
    <row r="130" spans="1:40" hidden="1">
      <c r="A130" s="353"/>
      <c r="B130" s="151"/>
      <c r="W130" s="35"/>
      <c r="X130" s="35"/>
      <c r="Y130" s="35"/>
      <c r="Z130" s="35"/>
      <c r="AE130" s="58"/>
    </row>
    <row r="131" spans="1:40" s="18" customFormat="1" ht="20.25" hidden="1">
      <c r="C131" s="14"/>
      <c r="D131" s="15"/>
      <c r="E131" s="15"/>
      <c r="F131" s="16" t="s">
        <v>134</v>
      </c>
      <c r="I131" s="16"/>
      <c r="J131" s="16"/>
      <c r="K131" s="17">
        <v>60789</v>
      </c>
      <c r="L131" s="17"/>
      <c r="M131" s="16" t="s">
        <v>135</v>
      </c>
      <c r="N131" s="14"/>
      <c r="O131" s="14"/>
      <c r="P131" s="146" t="s">
        <v>136</v>
      </c>
      <c r="Q131" s="14"/>
      <c r="R131" s="14"/>
      <c r="S131" s="14"/>
      <c r="T131" s="14"/>
      <c r="U131" s="14"/>
      <c r="V131" s="14"/>
      <c r="W131" s="36"/>
      <c r="X131" s="36"/>
      <c r="Y131" s="36"/>
      <c r="Z131" s="36"/>
      <c r="AA131" s="36"/>
      <c r="AB131" s="36"/>
      <c r="AC131" s="36"/>
      <c r="AD131" s="36"/>
      <c r="AE131" s="55"/>
      <c r="AF131" s="36"/>
      <c r="AG131" s="36"/>
      <c r="AH131" s="36"/>
      <c r="AM131" s="4"/>
      <c r="AN131" s="4"/>
    </row>
    <row r="132" spans="1:40" s="31" customFormat="1" ht="20.25" hidden="1">
      <c r="A132" s="149" t="s">
        <v>13</v>
      </c>
      <c r="B132" s="21" t="s">
        <v>84</v>
      </c>
      <c r="C132" s="26" t="s">
        <v>8</v>
      </c>
      <c r="D132" s="27" t="s">
        <v>4</v>
      </c>
      <c r="E132" s="27" t="s">
        <v>3</v>
      </c>
      <c r="F132" s="27" t="s">
        <v>13</v>
      </c>
      <c r="G132" s="349" t="s">
        <v>7</v>
      </c>
      <c r="H132" s="350" t="s">
        <v>24</v>
      </c>
      <c r="I132" s="30"/>
      <c r="J132" s="7" t="s">
        <v>25</v>
      </c>
      <c r="K132" s="349" t="s">
        <v>6</v>
      </c>
      <c r="L132" s="350" t="s">
        <v>76</v>
      </c>
      <c r="M132" s="30" t="s">
        <v>5</v>
      </c>
      <c r="N132" s="487" t="s">
        <v>29</v>
      </c>
      <c r="O132" s="487"/>
      <c r="P132" s="487"/>
      <c r="Q132" s="487" t="s">
        <v>30</v>
      </c>
      <c r="R132" s="487"/>
      <c r="S132" s="487"/>
      <c r="T132" s="487" t="s">
        <v>31</v>
      </c>
      <c r="U132" s="487"/>
      <c r="V132" s="487"/>
      <c r="W132" s="40"/>
      <c r="X132" s="488" t="s">
        <v>2</v>
      </c>
      <c r="Y132" s="488"/>
      <c r="Z132" s="488"/>
      <c r="AA132" s="40"/>
      <c r="AB132" s="488" t="s">
        <v>32</v>
      </c>
      <c r="AC132" s="488"/>
      <c r="AD132" s="488"/>
      <c r="AE132" s="56"/>
      <c r="AF132" s="488" t="s">
        <v>28</v>
      </c>
      <c r="AG132" s="488"/>
      <c r="AH132" s="488"/>
      <c r="AM132" s="18"/>
      <c r="AN132" s="18"/>
    </row>
    <row r="133" spans="1:40" ht="15.75" hidden="1">
      <c r="A133" s="3" t="str">
        <f>F133</f>
        <v/>
      </c>
      <c r="B133" s="351">
        <f>K$131</f>
        <v>60789</v>
      </c>
      <c r="C133" s="41">
        <v>0.58333333333333337</v>
      </c>
      <c r="D133" s="42">
        <v>1</v>
      </c>
      <c r="E133" s="3">
        <v>1</v>
      </c>
      <c r="F133" s="3" t="str">
        <f>IF(H133&lt;21,COUNTIF(H$6:H133,"&lt;21"),"")</f>
        <v/>
      </c>
      <c r="G133" s="7" t="str">
        <f t="shared" ref="G133:G162" si="61">IF(H133=21,"",INDEX($AM$7:$AN$22,H133,2))</f>
        <v/>
      </c>
      <c r="H133" s="350">
        <v>21</v>
      </c>
      <c r="I133" s="30" t="s">
        <v>16</v>
      </c>
      <c r="J133" s="350">
        <v>21</v>
      </c>
      <c r="K133" s="7" t="str">
        <f t="shared" ref="K133:K162" si="62">IF(J133=21,"",INDEX($AM$7:$AN$22,J133,2))</f>
        <v/>
      </c>
      <c r="L133" s="350">
        <v>21</v>
      </c>
      <c r="M133" s="7" t="str">
        <f t="shared" ref="M133:M162" si="63">IF(L133=21,"",INDEX($AM$7:$AN$22,L133,2))</f>
        <v/>
      </c>
      <c r="N133" s="39"/>
      <c r="O133" s="40" t="s">
        <v>0</v>
      </c>
      <c r="P133" s="39"/>
      <c r="Q133" s="39"/>
      <c r="R133" s="40" t="s">
        <v>0</v>
      </c>
      <c r="S133" s="39"/>
      <c r="T133" s="39"/>
      <c r="U133" s="40" t="s">
        <v>0</v>
      </c>
      <c r="V133" s="39"/>
      <c r="W133" s="38"/>
      <c r="X133" s="38" t="str">
        <f t="shared" ref="X133:X162" si="64">IF(N133+P133&gt;0,IF(AB133&gt;0,IF(AB133&gt;AD133,2,IF(AB133&lt;AD133,0,1)),0),"")</f>
        <v/>
      </c>
      <c r="Y133" s="40" t="s">
        <v>0</v>
      </c>
      <c r="Z133" s="38" t="str">
        <f t="shared" ref="Z133:Z162" si="65">IF(N133+P133&gt;0,IF(AD133&gt;0,IF(AD133&gt;AB133,2,IF(AD133&lt;AB133,0,1)),0),"")</f>
        <v/>
      </c>
      <c r="AA133" s="38"/>
      <c r="AB133" s="38" t="str">
        <f t="shared" ref="AB133:AB162" si="66">IF(N133+P133&gt;0,IF(N133&gt;P133,1,0)+IF(Q133&gt;S133,1,0)+IF(T133&gt;V133,1,0),"")</f>
        <v/>
      </c>
      <c r="AC133" s="40" t="s">
        <v>0</v>
      </c>
      <c r="AD133" s="38" t="str">
        <f t="shared" ref="AD133:AD162" si="67">IF(N133+P133&gt;0,IF(N133&lt;P133,1,0)+IF(Q133&lt;S133,1,0)+IF(T133&lt;V133,1,0),"")</f>
        <v/>
      </c>
      <c r="AE133" s="57"/>
      <c r="AF133" s="38" t="str">
        <f t="shared" ref="AF133:AF162" si="68">IF(N133+P133&gt;0,N133+Q133+T133,"")</f>
        <v/>
      </c>
      <c r="AG133" s="40" t="s">
        <v>0</v>
      </c>
      <c r="AH133" s="38" t="str">
        <f t="shared" ref="AH133:AH162" si="69">IF(N133+P133&gt;0,P133+S133+V133,"")</f>
        <v/>
      </c>
      <c r="AJ133" s="4" t="str">
        <f>M$131</f>
        <v>F-Ort</v>
      </c>
      <c r="AM133" s="31"/>
      <c r="AN133" s="31"/>
    </row>
    <row r="134" spans="1:40" ht="15.75" hidden="1">
      <c r="A134" s="3" t="str">
        <f t="shared" ref="A134:A162" si="70">F134</f>
        <v/>
      </c>
      <c r="B134" s="351">
        <f t="shared" ref="B134:B162" si="71">K$131</f>
        <v>60789</v>
      </c>
      <c r="C134" s="41">
        <v>0.58333333333333337</v>
      </c>
      <c r="D134" s="42">
        <v>1</v>
      </c>
      <c r="E134" s="3">
        <v>1</v>
      </c>
      <c r="F134" s="3" t="str">
        <f>IF(H134&lt;21,COUNTIF(H$6:H134,"&lt;21"),"")</f>
        <v/>
      </c>
      <c r="G134" s="7" t="str">
        <f t="shared" si="61"/>
        <v/>
      </c>
      <c r="H134" s="350">
        <v>21</v>
      </c>
      <c r="I134" s="30" t="s">
        <v>16</v>
      </c>
      <c r="J134" s="350">
        <v>21</v>
      </c>
      <c r="K134" s="7" t="str">
        <f t="shared" si="62"/>
        <v/>
      </c>
      <c r="L134" s="350">
        <v>21</v>
      </c>
      <c r="M134" s="7" t="str">
        <f t="shared" si="63"/>
        <v/>
      </c>
      <c r="N134" s="39"/>
      <c r="O134" s="40" t="s">
        <v>0</v>
      </c>
      <c r="P134" s="39"/>
      <c r="Q134" s="39"/>
      <c r="R134" s="40" t="s">
        <v>0</v>
      </c>
      <c r="S134" s="39"/>
      <c r="T134" s="39"/>
      <c r="U134" s="40" t="s">
        <v>0</v>
      </c>
      <c r="V134" s="39"/>
      <c r="W134" s="38"/>
      <c r="X134" s="38" t="str">
        <f t="shared" si="64"/>
        <v/>
      </c>
      <c r="Y134" s="40" t="s">
        <v>0</v>
      </c>
      <c r="Z134" s="38" t="str">
        <f t="shared" si="65"/>
        <v/>
      </c>
      <c r="AA134" s="38"/>
      <c r="AB134" s="38" t="str">
        <f t="shared" si="66"/>
        <v/>
      </c>
      <c r="AC134" s="40" t="s">
        <v>0</v>
      </c>
      <c r="AD134" s="38" t="str">
        <f t="shared" si="67"/>
        <v/>
      </c>
      <c r="AE134" s="57"/>
      <c r="AF134" s="38" t="str">
        <f t="shared" si="68"/>
        <v/>
      </c>
      <c r="AG134" s="40" t="s">
        <v>0</v>
      </c>
      <c r="AH134" s="38" t="str">
        <f t="shared" si="69"/>
        <v/>
      </c>
      <c r="AJ134" s="4" t="str">
        <f t="shared" ref="AJ134:AJ162" si="72">M$131</f>
        <v>F-Ort</v>
      </c>
    </row>
    <row r="135" spans="1:40" ht="15.75" hidden="1">
      <c r="A135" s="3" t="str">
        <f t="shared" si="70"/>
        <v/>
      </c>
      <c r="B135" s="351">
        <f t="shared" si="71"/>
        <v>60789</v>
      </c>
      <c r="C135" s="41">
        <v>0.58333333333333337</v>
      </c>
      <c r="D135" s="42">
        <v>1</v>
      </c>
      <c r="E135" s="3">
        <v>1</v>
      </c>
      <c r="F135" s="3" t="str">
        <f>IF(H135&lt;21,COUNTIF(H$6:H135,"&lt;21"),"")</f>
        <v/>
      </c>
      <c r="G135" s="7" t="str">
        <f t="shared" si="61"/>
        <v/>
      </c>
      <c r="H135" s="350">
        <v>21</v>
      </c>
      <c r="I135" s="30" t="s">
        <v>16</v>
      </c>
      <c r="J135" s="350">
        <v>21</v>
      </c>
      <c r="K135" s="7" t="str">
        <f t="shared" si="62"/>
        <v/>
      </c>
      <c r="L135" s="350">
        <v>21</v>
      </c>
      <c r="M135" s="7" t="str">
        <f t="shared" si="63"/>
        <v/>
      </c>
      <c r="N135" s="39"/>
      <c r="O135" s="40" t="s">
        <v>0</v>
      </c>
      <c r="P135" s="39"/>
      <c r="Q135" s="39"/>
      <c r="R135" s="40" t="s">
        <v>0</v>
      </c>
      <c r="S135" s="39"/>
      <c r="T135" s="39"/>
      <c r="U135" s="40" t="s">
        <v>0</v>
      </c>
      <c r="V135" s="39"/>
      <c r="W135" s="38"/>
      <c r="X135" s="38" t="str">
        <f t="shared" si="64"/>
        <v/>
      </c>
      <c r="Y135" s="40" t="s">
        <v>0</v>
      </c>
      <c r="Z135" s="38" t="str">
        <f t="shared" si="65"/>
        <v/>
      </c>
      <c r="AA135" s="38"/>
      <c r="AB135" s="38" t="str">
        <f t="shared" si="66"/>
        <v/>
      </c>
      <c r="AC135" s="40" t="s">
        <v>0</v>
      </c>
      <c r="AD135" s="38" t="str">
        <f t="shared" si="67"/>
        <v/>
      </c>
      <c r="AE135" s="57"/>
      <c r="AF135" s="38" t="str">
        <f t="shared" si="68"/>
        <v/>
      </c>
      <c r="AG135" s="40" t="s">
        <v>0</v>
      </c>
      <c r="AH135" s="38" t="str">
        <f t="shared" si="69"/>
        <v/>
      </c>
      <c r="AJ135" s="4" t="str">
        <f t="shared" si="72"/>
        <v>F-Ort</v>
      </c>
    </row>
    <row r="136" spans="1:40" ht="15.75" hidden="1">
      <c r="A136" s="3" t="str">
        <f t="shared" si="70"/>
        <v/>
      </c>
      <c r="B136" s="351">
        <f t="shared" si="71"/>
        <v>60789</v>
      </c>
      <c r="C136" s="41">
        <v>0.58333333333333337</v>
      </c>
      <c r="D136" s="42">
        <v>1</v>
      </c>
      <c r="E136" s="3">
        <v>1</v>
      </c>
      <c r="F136" s="3" t="str">
        <f>IF(H136&lt;21,COUNTIF(H$6:H136,"&lt;21"),"")</f>
        <v/>
      </c>
      <c r="G136" s="7" t="str">
        <f t="shared" si="61"/>
        <v/>
      </c>
      <c r="H136" s="350">
        <v>21</v>
      </c>
      <c r="I136" s="30" t="s">
        <v>16</v>
      </c>
      <c r="J136" s="350">
        <v>21</v>
      </c>
      <c r="K136" s="7" t="str">
        <f t="shared" si="62"/>
        <v/>
      </c>
      <c r="L136" s="350">
        <v>21</v>
      </c>
      <c r="M136" s="7" t="str">
        <f t="shared" si="63"/>
        <v/>
      </c>
      <c r="N136" s="39"/>
      <c r="O136" s="40" t="s">
        <v>0</v>
      </c>
      <c r="P136" s="39"/>
      <c r="Q136" s="39"/>
      <c r="R136" s="40" t="s">
        <v>0</v>
      </c>
      <c r="S136" s="39"/>
      <c r="T136" s="39"/>
      <c r="U136" s="40" t="s">
        <v>0</v>
      </c>
      <c r="V136" s="39"/>
      <c r="W136" s="38"/>
      <c r="X136" s="38" t="str">
        <f t="shared" si="64"/>
        <v/>
      </c>
      <c r="Y136" s="40" t="s">
        <v>0</v>
      </c>
      <c r="Z136" s="38" t="str">
        <f t="shared" si="65"/>
        <v/>
      </c>
      <c r="AA136" s="38"/>
      <c r="AB136" s="38" t="str">
        <f t="shared" si="66"/>
        <v/>
      </c>
      <c r="AC136" s="40" t="s">
        <v>0</v>
      </c>
      <c r="AD136" s="38" t="str">
        <f t="shared" si="67"/>
        <v/>
      </c>
      <c r="AE136" s="57"/>
      <c r="AF136" s="38" t="str">
        <f t="shared" si="68"/>
        <v/>
      </c>
      <c r="AG136" s="40" t="s">
        <v>0</v>
      </c>
      <c r="AH136" s="38" t="str">
        <f t="shared" si="69"/>
        <v/>
      </c>
      <c r="AJ136" s="4" t="str">
        <f t="shared" si="72"/>
        <v>F-Ort</v>
      </c>
    </row>
    <row r="137" spans="1:40" ht="15.75" hidden="1">
      <c r="A137" s="3" t="str">
        <f t="shared" si="70"/>
        <v/>
      </c>
      <c r="B137" s="351">
        <f t="shared" si="71"/>
        <v>60789</v>
      </c>
      <c r="C137" s="41" t="s">
        <v>75</v>
      </c>
      <c r="D137" s="42">
        <v>2</v>
      </c>
      <c r="E137" s="3">
        <v>1</v>
      </c>
      <c r="F137" s="3" t="str">
        <f>IF(H137&lt;21,COUNTIF(H$6:H137,"&lt;21"),"")</f>
        <v/>
      </c>
      <c r="G137" s="7" t="str">
        <f t="shared" si="61"/>
        <v/>
      </c>
      <c r="H137" s="350">
        <v>21</v>
      </c>
      <c r="I137" s="30" t="s">
        <v>16</v>
      </c>
      <c r="J137" s="350">
        <v>21</v>
      </c>
      <c r="K137" s="7" t="str">
        <f t="shared" si="62"/>
        <v/>
      </c>
      <c r="L137" s="350">
        <v>21</v>
      </c>
      <c r="M137" s="7" t="str">
        <f t="shared" si="63"/>
        <v/>
      </c>
      <c r="N137" s="39"/>
      <c r="O137" s="40" t="s">
        <v>0</v>
      </c>
      <c r="P137" s="39"/>
      <c r="Q137" s="39"/>
      <c r="R137" s="40" t="s">
        <v>0</v>
      </c>
      <c r="S137" s="39"/>
      <c r="T137" s="39"/>
      <c r="U137" s="40" t="s">
        <v>0</v>
      </c>
      <c r="V137" s="39"/>
      <c r="W137" s="38"/>
      <c r="X137" s="38" t="str">
        <f t="shared" si="64"/>
        <v/>
      </c>
      <c r="Y137" s="40" t="s">
        <v>0</v>
      </c>
      <c r="Z137" s="38" t="str">
        <f t="shared" si="65"/>
        <v/>
      </c>
      <c r="AA137" s="38"/>
      <c r="AB137" s="38" t="str">
        <f t="shared" si="66"/>
        <v/>
      </c>
      <c r="AC137" s="40" t="s">
        <v>0</v>
      </c>
      <c r="AD137" s="38" t="str">
        <f t="shared" si="67"/>
        <v/>
      </c>
      <c r="AE137" s="57"/>
      <c r="AF137" s="38" t="str">
        <f t="shared" si="68"/>
        <v/>
      </c>
      <c r="AG137" s="40" t="s">
        <v>0</v>
      </c>
      <c r="AH137" s="38" t="str">
        <f t="shared" si="69"/>
        <v/>
      </c>
      <c r="AJ137" s="4" t="str">
        <f t="shared" si="72"/>
        <v>F-Ort</v>
      </c>
    </row>
    <row r="138" spans="1:40" ht="15.75" hidden="1">
      <c r="A138" s="3" t="str">
        <f t="shared" si="70"/>
        <v/>
      </c>
      <c r="B138" s="351">
        <f t="shared" si="71"/>
        <v>60789</v>
      </c>
      <c r="C138" s="41" t="s">
        <v>75</v>
      </c>
      <c r="D138" s="42">
        <v>2</v>
      </c>
      <c r="E138" s="3">
        <v>1</v>
      </c>
      <c r="F138" s="3" t="str">
        <f>IF(H138&lt;21,COUNTIF(H$6:H138,"&lt;21"),"")</f>
        <v/>
      </c>
      <c r="G138" s="7" t="str">
        <f t="shared" si="61"/>
        <v/>
      </c>
      <c r="H138" s="350">
        <v>21</v>
      </c>
      <c r="I138" s="30" t="s">
        <v>16</v>
      </c>
      <c r="J138" s="350">
        <v>21</v>
      </c>
      <c r="K138" s="7" t="str">
        <f t="shared" si="62"/>
        <v/>
      </c>
      <c r="L138" s="350">
        <v>21</v>
      </c>
      <c r="M138" s="7" t="str">
        <f t="shared" si="63"/>
        <v/>
      </c>
      <c r="N138" s="39"/>
      <c r="O138" s="40" t="s">
        <v>0</v>
      </c>
      <c r="P138" s="39"/>
      <c r="Q138" s="39"/>
      <c r="R138" s="40" t="s">
        <v>0</v>
      </c>
      <c r="S138" s="39"/>
      <c r="T138" s="39"/>
      <c r="U138" s="40" t="s">
        <v>0</v>
      </c>
      <c r="V138" s="39"/>
      <c r="W138" s="38"/>
      <c r="X138" s="38" t="str">
        <f t="shared" si="64"/>
        <v/>
      </c>
      <c r="Y138" s="40" t="s">
        <v>0</v>
      </c>
      <c r="Z138" s="38" t="str">
        <f t="shared" si="65"/>
        <v/>
      </c>
      <c r="AA138" s="38"/>
      <c r="AB138" s="38" t="str">
        <f t="shared" si="66"/>
        <v/>
      </c>
      <c r="AC138" s="40" t="s">
        <v>0</v>
      </c>
      <c r="AD138" s="38" t="str">
        <f t="shared" si="67"/>
        <v/>
      </c>
      <c r="AE138" s="57"/>
      <c r="AF138" s="38" t="str">
        <f t="shared" si="68"/>
        <v/>
      </c>
      <c r="AG138" s="40" t="s">
        <v>0</v>
      </c>
      <c r="AH138" s="38" t="str">
        <f t="shared" si="69"/>
        <v/>
      </c>
      <c r="AJ138" s="4" t="str">
        <f t="shared" si="72"/>
        <v>F-Ort</v>
      </c>
    </row>
    <row r="139" spans="1:40" ht="15.75" hidden="1">
      <c r="A139" s="3" t="str">
        <f t="shared" si="70"/>
        <v/>
      </c>
      <c r="B139" s="351">
        <f t="shared" si="71"/>
        <v>60789</v>
      </c>
      <c r="C139" s="41" t="s">
        <v>75</v>
      </c>
      <c r="D139" s="42">
        <v>2</v>
      </c>
      <c r="E139" s="3">
        <v>1</v>
      </c>
      <c r="F139" s="3" t="str">
        <f>IF(H139&lt;21,COUNTIF(H$6:H139,"&lt;21"),"")</f>
        <v/>
      </c>
      <c r="G139" s="7" t="str">
        <f t="shared" si="61"/>
        <v/>
      </c>
      <c r="H139" s="350">
        <v>21</v>
      </c>
      <c r="I139" s="30" t="s">
        <v>16</v>
      </c>
      <c r="J139" s="350">
        <v>21</v>
      </c>
      <c r="K139" s="7" t="str">
        <f t="shared" si="62"/>
        <v/>
      </c>
      <c r="L139" s="350">
        <v>21</v>
      </c>
      <c r="M139" s="7" t="str">
        <f t="shared" si="63"/>
        <v/>
      </c>
      <c r="N139" s="39"/>
      <c r="O139" s="40" t="s">
        <v>0</v>
      </c>
      <c r="P139" s="39"/>
      <c r="Q139" s="39"/>
      <c r="R139" s="40" t="s">
        <v>0</v>
      </c>
      <c r="S139" s="39"/>
      <c r="T139" s="39"/>
      <c r="U139" s="40" t="s">
        <v>0</v>
      </c>
      <c r="V139" s="39"/>
      <c r="W139" s="38"/>
      <c r="X139" s="38" t="str">
        <f t="shared" si="64"/>
        <v/>
      </c>
      <c r="Y139" s="40" t="s">
        <v>0</v>
      </c>
      <c r="Z139" s="38" t="str">
        <f t="shared" si="65"/>
        <v/>
      </c>
      <c r="AA139" s="38"/>
      <c r="AB139" s="38" t="str">
        <f t="shared" si="66"/>
        <v/>
      </c>
      <c r="AC139" s="40" t="s">
        <v>0</v>
      </c>
      <c r="AD139" s="38" t="str">
        <f t="shared" si="67"/>
        <v/>
      </c>
      <c r="AE139" s="57"/>
      <c r="AF139" s="38" t="str">
        <f t="shared" si="68"/>
        <v/>
      </c>
      <c r="AG139" s="40" t="s">
        <v>0</v>
      </c>
      <c r="AH139" s="38" t="str">
        <f t="shared" si="69"/>
        <v/>
      </c>
      <c r="AJ139" s="4" t="str">
        <f t="shared" si="72"/>
        <v>F-Ort</v>
      </c>
    </row>
    <row r="140" spans="1:40" ht="15.75" hidden="1">
      <c r="A140" s="3" t="str">
        <f t="shared" si="70"/>
        <v/>
      </c>
      <c r="B140" s="351">
        <f t="shared" si="71"/>
        <v>60789</v>
      </c>
      <c r="C140" s="41" t="s">
        <v>75</v>
      </c>
      <c r="D140" s="42">
        <v>2</v>
      </c>
      <c r="E140" s="3">
        <v>1</v>
      </c>
      <c r="F140" s="3" t="str">
        <f>IF(H140&lt;21,COUNTIF(H$6:H140,"&lt;21"),"")</f>
        <v/>
      </c>
      <c r="G140" s="7" t="str">
        <f t="shared" si="61"/>
        <v/>
      </c>
      <c r="H140" s="350">
        <v>21</v>
      </c>
      <c r="I140" s="30" t="s">
        <v>16</v>
      </c>
      <c r="J140" s="350">
        <v>21</v>
      </c>
      <c r="K140" s="7" t="str">
        <f t="shared" si="62"/>
        <v/>
      </c>
      <c r="L140" s="350">
        <v>21</v>
      </c>
      <c r="M140" s="7" t="str">
        <f t="shared" si="63"/>
        <v/>
      </c>
      <c r="N140" s="39"/>
      <c r="O140" s="40" t="s">
        <v>0</v>
      </c>
      <c r="P140" s="39"/>
      <c r="Q140" s="39"/>
      <c r="R140" s="40" t="s">
        <v>0</v>
      </c>
      <c r="S140" s="39"/>
      <c r="T140" s="39"/>
      <c r="U140" s="40" t="s">
        <v>0</v>
      </c>
      <c r="V140" s="39"/>
      <c r="W140" s="38"/>
      <c r="X140" s="38" t="str">
        <f t="shared" si="64"/>
        <v/>
      </c>
      <c r="Y140" s="40" t="s">
        <v>0</v>
      </c>
      <c r="Z140" s="38" t="str">
        <f t="shared" si="65"/>
        <v/>
      </c>
      <c r="AA140" s="38"/>
      <c r="AB140" s="38" t="str">
        <f t="shared" si="66"/>
        <v/>
      </c>
      <c r="AC140" s="40" t="s">
        <v>0</v>
      </c>
      <c r="AD140" s="38" t="str">
        <f t="shared" si="67"/>
        <v/>
      </c>
      <c r="AE140" s="57"/>
      <c r="AF140" s="38" t="str">
        <f t="shared" si="68"/>
        <v/>
      </c>
      <c r="AG140" s="40" t="s">
        <v>0</v>
      </c>
      <c r="AH140" s="38" t="str">
        <f t="shared" si="69"/>
        <v/>
      </c>
      <c r="AJ140" s="4" t="str">
        <f t="shared" si="72"/>
        <v>F-Ort</v>
      </c>
    </row>
    <row r="141" spans="1:40" ht="15.75" hidden="1">
      <c r="A141" s="3" t="str">
        <f t="shared" si="70"/>
        <v/>
      </c>
      <c r="B141" s="351">
        <f t="shared" si="71"/>
        <v>60789</v>
      </c>
      <c r="C141" s="41" t="s">
        <v>75</v>
      </c>
      <c r="D141" s="42">
        <v>3</v>
      </c>
      <c r="E141" s="3">
        <v>1</v>
      </c>
      <c r="F141" s="3" t="str">
        <f>IF(H141&lt;21,COUNTIF(H$6:H141,"&lt;21"),"")</f>
        <v/>
      </c>
      <c r="G141" s="7" t="str">
        <f t="shared" si="61"/>
        <v/>
      </c>
      <c r="H141" s="350">
        <v>21</v>
      </c>
      <c r="I141" s="30" t="s">
        <v>16</v>
      </c>
      <c r="J141" s="350">
        <v>21</v>
      </c>
      <c r="K141" s="7" t="str">
        <f t="shared" si="62"/>
        <v/>
      </c>
      <c r="L141" s="350">
        <v>21</v>
      </c>
      <c r="M141" s="7" t="str">
        <f t="shared" si="63"/>
        <v/>
      </c>
      <c r="N141" s="39"/>
      <c r="O141" s="40" t="s">
        <v>0</v>
      </c>
      <c r="P141" s="39"/>
      <c r="Q141" s="39"/>
      <c r="R141" s="40" t="s">
        <v>0</v>
      </c>
      <c r="S141" s="39"/>
      <c r="T141" s="39"/>
      <c r="U141" s="40" t="s">
        <v>0</v>
      </c>
      <c r="V141" s="39"/>
      <c r="W141" s="38"/>
      <c r="X141" s="38" t="str">
        <f t="shared" si="64"/>
        <v/>
      </c>
      <c r="Y141" s="40" t="s">
        <v>0</v>
      </c>
      <c r="Z141" s="38" t="str">
        <f t="shared" si="65"/>
        <v/>
      </c>
      <c r="AA141" s="38"/>
      <c r="AB141" s="38" t="str">
        <f t="shared" si="66"/>
        <v/>
      </c>
      <c r="AC141" s="40" t="s">
        <v>0</v>
      </c>
      <c r="AD141" s="38" t="str">
        <f t="shared" si="67"/>
        <v/>
      </c>
      <c r="AE141" s="57"/>
      <c r="AF141" s="38" t="str">
        <f t="shared" si="68"/>
        <v/>
      </c>
      <c r="AG141" s="40" t="s">
        <v>0</v>
      </c>
      <c r="AH141" s="38" t="str">
        <f t="shared" si="69"/>
        <v/>
      </c>
      <c r="AJ141" s="4" t="str">
        <f t="shared" si="72"/>
        <v>F-Ort</v>
      </c>
    </row>
    <row r="142" spans="1:40" ht="15.75" hidden="1">
      <c r="A142" s="3" t="str">
        <f t="shared" si="70"/>
        <v/>
      </c>
      <c r="B142" s="351">
        <f t="shared" si="71"/>
        <v>60789</v>
      </c>
      <c r="C142" s="41" t="s">
        <v>75</v>
      </c>
      <c r="D142" s="42">
        <v>3</v>
      </c>
      <c r="E142" s="3">
        <v>1</v>
      </c>
      <c r="F142" s="3" t="str">
        <f>IF(H142&lt;21,COUNTIF(H$6:H142,"&lt;21"),"")</f>
        <v/>
      </c>
      <c r="G142" s="7" t="str">
        <f t="shared" si="61"/>
        <v/>
      </c>
      <c r="H142" s="350">
        <v>21</v>
      </c>
      <c r="I142" s="30" t="s">
        <v>16</v>
      </c>
      <c r="J142" s="350">
        <v>21</v>
      </c>
      <c r="K142" s="7" t="str">
        <f t="shared" si="62"/>
        <v/>
      </c>
      <c r="L142" s="350">
        <v>21</v>
      </c>
      <c r="M142" s="7" t="str">
        <f t="shared" si="63"/>
        <v/>
      </c>
      <c r="N142" s="39"/>
      <c r="O142" s="40" t="s">
        <v>0</v>
      </c>
      <c r="P142" s="39"/>
      <c r="Q142" s="39"/>
      <c r="R142" s="40" t="s">
        <v>0</v>
      </c>
      <c r="S142" s="39"/>
      <c r="T142" s="39"/>
      <c r="U142" s="40" t="s">
        <v>0</v>
      </c>
      <c r="V142" s="39"/>
      <c r="W142" s="38"/>
      <c r="X142" s="38" t="str">
        <f t="shared" si="64"/>
        <v/>
      </c>
      <c r="Y142" s="40" t="s">
        <v>0</v>
      </c>
      <c r="Z142" s="38" t="str">
        <f t="shared" si="65"/>
        <v/>
      </c>
      <c r="AA142" s="38"/>
      <c r="AB142" s="38" t="str">
        <f t="shared" si="66"/>
        <v/>
      </c>
      <c r="AC142" s="40" t="s">
        <v>0</v>
      </c>
      <c r="AD142" s="38" t="str">
        <f t="shared" si="67"/>
        <v/>
      </c>
      <c r="AE142" s="57"/>
      <c r="AF142" s="38" t="str">
        <f t="shared" si="68"/>
        <v/>
      </c>
      <c r="AG142" s="40" t="s">
        <v>0</v>
      </c>
      <c r="AH142" s="38" t="str">
        <f t="shared" si="69"/>
        <v/>
      </c>
      <c r="AJ142" s="4" t="str">
        <f t="shared" si="72"/>
        <v>F-Ort</v>
      </c>
    </row>
    <row r="143" spans="1:40" ht="15.75" hidden="1">
      <c r="A143" s="3" t="str">
        <f t="shared" si="70"/>
        <v/>
      </c>
      <c r="B143" s="351">
        <f t="shared" si="71"/>
        <v>60789</v>
      </c>
      <c r="C143" s="41" t="s">
        <v>75</v>
      </c>
      <c r="D143" s="42">
        <v>3</v>
      </c>
      <c r="E143" s="3">
        <v>1</v>
      </c>
      <c r="F143" s="3" t="str">
        <f>IF(H143&lt;21,COUNTIF(H$6:H143,"&lt;21"),"")</f>
        <v/>
      </c>
      <c r="G143" s="7" t="str">
        <f t="shared" si="61"/>
        <v/>
      </c>
      <c r="H143" s="350">
        <v>21</v>
      </c>
      <c r="I143" s="30" t="s">
        <v>16</v>
      </c>
      <c r="J143" s="350">
        <v>21</v>
      </c>
      <c r="K143" s="7" t="str">
        <f t="shared" si="62"/>
        <v/>
      </c>
      <c r="L143" s="350">
        <v>21</v>
      </c>
      <c r="M143" s="7" t="str">
        <f t="shared" si="63"/>
        <v/>
      </c>
      <c r="N143" s="39"/>
      <c r="O143" s="40" t="s">
        <v>0</v>
      </c>
      <c r="P143" s="39"/>
      <c r="Q143" s="39"/>
      <c r="R143" s="40" t="s">
        <v>0</v>
      </c>
      <c r="S143" s="39"/>
      <c r="T143" s="39"/>
      <c r="U143" s="40" t="s">
        <v>0</v>
      </c>
      <c r="V143" s="39"/>
      <c r="W143" s="38"/>
      <c r="X143" s="38" t="str">
        <f t="shared" si="64"/>
        <v/>
      </c>
      <c r="Y143" s="40" t="s">
        <v>0</v>
      </c>
      <c r="Z143" s="38" t="str">
        <f t="shared" si="65"/>
        <v/>
      </c>
      <c r="AA143" s="38"/>
      <c r="AB143" s="38" t="str">
        <f t="shared" si="66"/>
        <v/>
      </c>
      <c r="AC143" s="40" t="s">
        <v>0</v>
      </c>
      <c r="AD143" s="38" t="str">
        <f t="shared" si="67"/>
        <v/>
      </c>
      <c r="AE143" s="57"/>
      <c r="AF143" s="38" t="str">
        <f t="shared" si="68"/>
        <v/>
      </c>
      <c r="AG143" s="40" t="s">
        <v>0</v>
      </c>
      <c r="AH143" s="38" t="str">
        <f t="shared" si="69"/>
        <v/>
      </c>
      <c r="AJ143" s="4" t="str">
        <f t="shared" si="72"/>
        <v>F-Ort</v>
      </c>
    </row>
    <row r="144" spans="1:40" ht="15.75" hidden="1">
      <c r="A144" s="3" t="str">
        <f t="shared" si="70"/>
        <v/>
      </c>
      <c r="B144" s="351">
        <f t="shared" si="71"/>
        <v>60789</v>
      </c>
      <c r="C144" s="41" t="s">
        <v>75</v>
      </c>
      <c r="D144" s="42">
        <v>3</v>
      </c>
      <c r="E144" s="3">
        <v>1</v>
      </c>
      <c r="F144" s="3" t="str">
        <f>IF(H144&lt;21,COUNTIF(H$6:H144,"&lt;21"),"")</f>
        <v/>
      </c>
      <c r="G144" s="7" t="str">
        <f t="shared" si="61"/>
        <v/>
      </c>
      <c r="H144" s="350">
        <v>21</v>
      </c>
      <c r="I144" s="30" t="s">
        <v>16</v>
      </c>
      <c r="J144" s="350">
        <v>21</v>
      </c>
      <c r="K144" s="7" t="str">
        <f t="shared" si="62"/>
        <v/>
      </c>
      <c r="L144" s="350">
        <v>21</v>
      </c>
      <c r="M144" s="7" t="str">
        <f t="shared" si="63"/>
        <v/>
      </c>
      <c r="N144" s="39"/>
      <c r="O144" s="40" t="s">
        <v>0</v>
      </c>
      <c r="P144" s="39"/>
      <c r="Q144" s="39"/>
      <c r="R144" s="40" t="s">
        <v>0</v>
      </c>
      <c r="S144" s="39"/>
      <c r="T144" s="39"/>
      <c r="U144" s="40" t="s">
        <v>0</v>
      </c>
      <c r="V144" s="39"/>
      <c r="W144" s="38"/>
      <c r="X144" s="38" t="str">
        <f t="shared" si="64"/>
        <v/>
      </c>
      <c r="Y144" s="40" t="s">
        <v>0</v>
      </c>
      <c r="Z144" s="38" t="str">
        <f t="shared" si="65"/>
        <v/>
      </c>
      <c r="AA144" s="38"/>
      <c r="AB144" s="38" t="str">
        <f t="shared" si="66"/>
        <v/>
      </c>
      <c r="AC144" s="40" t="s">
        <v>0</v>
      </c>
      <c r="AD144" s="38" t="str">
        <f t="shared" si="67"/>
        <v/>
      </c>
      <c r="AE144" s="57"/>
      <c r="AF144" s="38" t="str">
        <f t="shared" si="68"/>
        <v/>
      </c>
      <c r="AG144" s="40" t="s">
        <v>0</v>
      </c>
      <c r="AH144" s="38" t="str">
        <f t="shared" si="69"/>
        <v/>
      </c>
      <c r="AJ144" s="4" t="str">
        <f t="shared" si="72"/>
        <v>F-Ort</v>
      </c>
    </row>
    <row r="145" spans="1:40" ht="15.75" hidden="1">
      <c r="A145" s="3" t="str">
        <f t="shared" si="70"/>
        <v/>
      </c>
      <c r="B145" s="351">
        <f t="shared" si="71"/>
        <v>60789</v>
      </c>
      <c r="C145" s="41" t="s">
        <v>75</v>
      </c>
      <c r="D145" s="42">
        <v>4</v>
      </c>
      <c r="E145" s="3">
        <v>1</v>
      </c>
      <c r="F145" s="3" t="str">
        <f>IF(H145&lt;21,COUNTIF(H$6:H145,"&lt;21"),"")</f>
        <v/>
      </c>
      <c r="G145" s="7" t="str">
        <f t="shared" si="61"/>
        <v/>
      </c>
      <c r="H145" s="350">
        <v>21</v>
      </c>
      <c r="I145" s="30" t="s">
        <v>16</v>
      </c>
      <c r="J145" s="350">
        <v>21</v>
      </c>
      <c r="K145" s="7" t="str">
        <f t="shared" si="62"/>
        <v/>
      </c>
      <c r="L145" s="350">
        <v>21</v>
      </c>
      <c r="M145" s="7" t="str">
        <f t="shared" si="63"/>
        <v/>
      </c>
      <c r="N145" s="39"/>
      <c r="O145" s="40" t="s">
        <v>0</v>
      </c>
      <c r="P145" s="39"/>
      <c r="Q145" s="39"/>
      <c r="R145" s="40" t="s">
        <v>0</v>
      </c>
      <c r="S145" s="39"/>
      <c r="T145" s="39"/>
      <c r="U145" s="40" t="s">
        <v>0</v>
      </c>
      <c r="V145" s="39"/>
      <c r="W145" s="38"/>
      <c r="X145" s="38" t="str">
        <f t="shared" si="64"/>
        <v/>
      </c>
      <c r="Y145" s="40" t="s">
        <v>0</v>
      </c>
      <c r="Z145" s="38" t="str">
        <f t="shared" si="65"/>
        <v/>
      </c>
      <c r="AA145" s="38"/>
      <c r="AB145" s="38" t="str">
        <f t="shared" si="66"/>
        <v/>
      </c>
      <c r="AC145" s="40" t="s">
        <v>0</v>
      </c>
      <c r="AD145" s="38" t="str">
        <f t="shared" si="67"/>
        <v/>
      </c>
      <c r="AE145" s="57"/>
      <c r="AF145" s="38" t="str">
        <f t="shared" si="68"/>
        <v/>
      </c>
      <c r="AG145" s="40" t="s">
        <v>0</v>
      </c>
      <c r="AH145" s="38" t="str">
        <f t="shared" si="69"/>
        <v/>
      </c>
      <c r="AJ145" s="4" t="str">
        <f t="shared" si="72"/>
        <v>F-Ort</v>
      </c>
    </row>
    <row r="146" spans="1:40" s="31" customFormat="1" ht="15.75" hidden="1">
      <c r="A146" s="3" t="str">
        <f t="shared" si="70"/>
        <v/>
      </c>
      <c r="B146" s="351">
        <f t="shared" si="71"/>
        <v>60789</v>
      </c>
      <c r="C146" s="41" t="s">
        <v>75</v>
      </c>
      <c r="D146" s="42">
        <v>4</v>
      </c>
      <c r="E146" s="3">
        <v>1</v>
      </c>
      <c r="F146" s="3" t="str">
        <f>IF(H146&lt;21,COUNTIF(H$6:H146,"&lt;21"),"")</f>
        <v/>
      </c>
      <c r="G146" s="7" t="str">
        <f t="shared" si="61"/>
        <v/>
      </c>
      <c r="H146" s="350">
        <v>21</v>
      </c>
      <c r="I146" s="30" t="s">
        <v>16</v>
      </c>
      <c r="J146" s="350">
        <v>21</v>
      </c>
      <c r="K146" s="7" t="str">
        <f t="shared" si="62"/>
        <v/>
      </c>
      <c r="L146" s="350">
        <v>21</v>
      </c>
      <c r="M146" s="7" t="str">
        <f t="shared" si="63"/>
        <v/>
      </c>
      <c r="N146" s="39"/>
      <c r="O146" s="40" t="s">
        <v>0</v>
      </c>
      <c r="P146" s="39"/>
      <c r="Q146" s="39"/>
      <c r="R146" s="40" t="s">
        <v>0</v>
      </c>
      <c r="S146" s="39"/>
      <c r="T146" s="39"/>
      <c r="U146" s="40" t="s">
        <v>0</v>
      </c>
      <c r="V146" s="39"/>
      <c r="W146" s="38"/>
      <c r="X146" s="38" t="str">
        <f t="shared" si="64"/>
        <v/>
      </c>
      <c r="Y146" s="40" t="s">
        <v>0</v>
      </c>
      <c r="Z146" s="38" t="str">
        <f t="shared" si="65"/>
        <v/>
      </c>
      <c r="AA146" s="38"/>
      <c r="AB146" s="38" t="str">
        <f t="shared" si="66"/>
        <v/>
      </c>
      <c r="AC146" s="40" t="s">
        <v>0</v>
      </c>
      <c r="AD146" s="38" t="str">
        <f t="shared" si="67"/>
        <v/>
      </c>
      <c r="AE146" s="57"/>
      <c r="AF146" s="38" t="str">
        <f t="shared" si="68"/>
        <v/>
      </c>
      <c r="AG146" s="40" t="s">
        <v>0</v>
      </c>
      <c r="AH146" s="38" t="str">
        <f t="shared" si="69"/>
        <v/>
      </c>
      <c r="AJ146" s="4" t="str">
        <f t="shared" si="72"/>
        <v>F-Ort</v>
      </c>
      <c r="AM146" s="4"/>
      <c r="AN146" s="4"/>
    </row>
    <row r="147" spans="1:40" s="31" customFormat="1" ht="15.75" hidden="1">
      <c r="A147" s="3" t="str">
        <f t="shared" si="70"/>
        <v/>
      </c>
      <c r="B147" s="351">
        <f t="shared" si="71"/>
        <v>60789</v>
      </c>
      <c r="C147" s="41" t="s">
        <v>75</v>
      </c>
      <c r="D147" s="42">
        <v>4</v>
      </c>
      <c r="E147" s="3">
        <v>1</v>
      </c>
      <c r="F147" s="3" t="str">
        <f>IF(H147&lt;21,COUNTIF(H$6:H147,"&lt;21"),"")</f>
        <v/>
      </c>
      <c r="G147" s="7" t="str">
        <f t="shared" si="61"/>
        <v/>
      </c>
      <c r="H147" s="350">
        <v>21</v>
      </c>
      <c r="I147" s="30" t="s">
        <v>16</v>
      </c>
      <c r="J147" s="350">
        <v>21</v>
      </c>
      <c r="K147" s="7" t="str">
        <f t="shared" si="62"/>
        <v/>
      </c>
      <c r="L147" s="350">
        <v>21</v>
      </c>
      <c r="M147" s="7" t="str">
        <f t="shared" si="63"/>
        <v/>
      </c>
      <c r="N147" s="39"/>
      <c r="O147" s="40" t="s">
        <v>0</v>
      </c>
      <c r="P147" s="39"/>
      <c r="Q147" s="39"/>
      <c r="R147" s="40" t="s">
        <v>0</v>
      </c>
      <c r="S147" s="39"/>
      <c r="T147" s="39"/>
      <c r="U147" s="40" t="s">
        <v>0</v>
      </c>
      <c r="V147" s="39"/>
      <c r="W147" s="38"/>
      <c r="X147" s="38" t="str">
        <f t="shared" si="64"/>
        <v/>
      </c>
      <c r="Y147" s="40" t="s">
        <v>0</v>
      </c>
      <c r="Z147" s="38" t="str">
        <f t="shared" si="65"/>
        <v/>
      </c>
      <c r="AA147" s="38"/>
      <c r="AB147" s="38" t="str">
        <f t="shared" si="66"/>
        <v/>
      </c>
      <c r="AC147" s="40" t="s">
        <v>0</v>
      </c>
      <c r="AD147" s="38" t="str">
        <f t="shared" si="67"/>
        <v/>
      </c>
      <c r="AE147" s="57"/>
      <c r="AF147" s="38" t="str">
        <f t="shared" si="68"/>
        <v/>
      </c>
      <c r="AG147" s="40" t="s">
        <v>0</v>
      </c>
      <c r="AH147" s="38" t="str">
        <f t="shared" si="69"/>
        <v/>
      </c>
      <c r="AJ147" s="4" t="str">
        <f t="shared" si="72"/>
        <v>F-Ort</v>
      </c>
    </row>
    <row r="148" spans="1:40" ht="15.75" hidden="1">
      <c r="A148" s="3" t="str">
        <f t="shared" si="70"/>
        <v/>
      </c>
      <c r="B148" s="351">
        <f t="shared" si="71"/>
        <v>60789</v>
      </c>
      <c r="C148" s="41" t="s">
        <v>75</v>
      </c>
      <c r="D148" s="42">
        <v>4</v>
      </c>
      <c r="E148" s="3">
        <v>1</v>
      </c>
      <c r="F148" s="3" t="str">
        <f>IF(H148&lt;21,COUNTIF(H$6:H148,"&lt;21"),"")</f>
        <v/>
      </c>
      <c r="G148" s="7" t="str">
        <f t="shared" si="61"/>
        <v/>
      </c>
      <c r="H148" s="350">
        <v>21</v>
      </c>
      <c r="I148" s="30" t="s">
        <v>16</v>
      </c>
      <c r="J148" s="350">
        <v>21</v>
      </c>
      <c r="K148" s="7" t="str">
        <f t="shared" si="62"/>
        <v/>
      </c>
      <c r="L148" s="350">
        <v>21</v>
      </c>
      <c r="M148" s="7" t="str">
        <f t="shared" si="63"/>
        <v/>
      </c>
      <c r="N148" s="39"/>
      <c r="O148" s="40" t="s">
        <v>0</v>
      </c>
      <c r="P148" s="39"/>
      <c r="Q148" s="39"/>
      <c r="R148" s="40" t="s">
        <v>0</v>
      </c>
      <c r="S148" s="39"/>
      <c r="T148" s="39"/>
      <c r="U148" s="40" t="s">
        <v>0</v>
      </c>
      <c r="V148" s="39"/>
      <c r="W148" s="38"/>
      <c r="X148" s="38" t="str">
        <f t="shared" si="64"/>
        <v/>
      </c>
      <c r="Y148" s="40" t="s">
        <v>0</v>
      </c>
      <c r="Z148" s="38" t="str">
        <f t="shared" si="65"/>
        <v/>
      </c>
      <c r="AA148" s="38"/>
      <c r="AB148" s="38" t="str">
        <f t="shared" si="66"/>
        <v/>
      </c>
      <c r="AC148" s="40" t="s">
        <v>0</v>
      </c>
      <c r="AD148" s="38" t="str">
        <f t="shared" si="67"/>
        <v/>
      </c>
      <c r="AE148" s="57"/>
      <c r="AF148" s="38" t="str">
        <f t="shared" si="68"/>
        <v/>
      </c>
      <c r="AG148" s="40" t="s">
        <v>0</v>
      </c>
      <c r="AH148" s="38" t="str">
        <f t="shared" si="69"/>
        <v/>
      </c>
      <c r="AJ148" s="4" t="str">
        <f t="shared" si="72"/>
        <v>F-Ort</v>
      </c>
      <c r="AM148" s="31"/>
      <c r="AN148" s="31"/>
    </row>
    <row r="149" spans="1:40" ht="15.75" hidden="1">
      <c r="A149" s="3" t="str">
        <f t="shared" si="70"/>
        <v/>
      </c>
      <c r="B149" s="351">
        <f t="shared" si="71"/>
        <v>60789</v>
      </c>
      <c r="C149" s="41" t="s">
        <v>75</v>
      </c>
      <c r="D149" s="42">
        <v>5</v>
      </c>
      <c r="E149" s="3">
        <v>1</v>
      </c>
      <c r="F149" s="3" t="str">
        <f>IF(H149&lt;21,COUNTIF(H$6:H149,"&lt;21"),"")</f>
        <v/>
      </c>
      <c r="G149" s="7" t="str">
        <f t="shared" si="61"/>
        <v/>
      </c>
      <c r="H149" s="350">
        <v>21</v>
      </c>
      <c r="I149" s="30" t="s">
        <v>16</v>
      </c>
      <c r="J149" s="350">
        <v>21</v>
      </c>
      <c r="K149" s="7" t="str">
        <f t="shared" si="62"/>
        <v/>
      </c>
      <c r="L149" s="350">
        <v>21</v>
      </c>
      <c r="M149" s="7" t="str">
        <f t="shared" si="63"/>
        <v/>
      </c>
      <c r="N149" s="39"/>
      <c r="O149" s="40" t="s">
        <v>0</v>
      </c>
      <c r="P149" s="39"/>
      <c r="Q149" s="39"/>
      <c r="R149" s="40" t="s">
        <v>0</v>
      </c>
      <c r="S149" s="39"/>
      <c r="T149" s="39"/>
      <c r="U149" s="40" t="s">
        <v>0</v>
      </c>
      <c r="V149" s="39"/>
      <c r="W149" s="38"/>
      <c r="X149" s="38" t="str">
        <f t="shared" si="64"/>
        <v/>
      </c>
      <c r="Y149" s="40" t="s">
        <v>0</v>
      </c>
      <c r="Z149" s="38" t="str">
        <f t="shared" si="65"/>
        <v/>
      </c>
      <c r="AA149" s="38"/>
      <c r="AB149" s="38" t="str">
        <f t="shared" si="66"/>
        <v/>
      </c>
      <c r="AC149" s="40" t="s">
        <v>0</v>
      </c>
      <c r="AD149" s="38" t="str">
        <f t="shared" si="67"/>
        <v/>
      </c>
      <c r="AE149" s="57"/>
      <c r="AF149" s="38" t="str">
        <f t="shared" si="68"/>
        <v/>
      </c>
      <c r="AG149" s="40" t="s">
        <v>0</v>
      </c>
      <c r="AH149" s="38" t="str">
        <f t="shared" si="69"/>
        <v/>
      </c>
      <c r="AJ149" s="4" t="str">
        <f t="shared" si="72"/>
        <v>F-Ort</v>
      </c>
    </row>
    <row r="150" spans="1:40" ht="15.75" hidden="1">
      <c r="A150" s="3" t="str">
        <f t="shared" si="70"/>
        <v/>
      </c>
      <c r="B150" s="351">
        <f t="shared" si="71"/>
        <v>60789</v>
      </c>
      <c r="C150" s="41" t="s">
        <v>75</v>
      </c>
      <c r="D150" s="42">
        <v>5</v>
      </c>
      <c r="E150" s="3">
        <v>1</v>
      </c>
      <c r="F150" s="3" t="str">
        <f>IF(H150&lt;21,COUNTIF(H$6:H150,"&lt;21"),"")</f>
        <v/>
      </c>
      <c r="G150" s="7" t="str">
        <f t="shared" si="61"/>
        <v/>
      </c>
      <c r="H150" s="350">
        <v>21</v>
      </c>
      <c r="I150" s="30" t="s">
        <v>16</v>
      </c>
      <c r="J150" s="350">
        <v>21</v>
      </c>
      <c r="K150" s="7" t="str">
        <f t="shared" si="62"/>
        <v/>
      </c>
      <c r="L150" s="350">
        <v>21</v>
      </c>
      <c r="M150" s="7" t="str">
        <f t="shared" si="63"/>
        <v/>
      </c>
      <c r="N150" s="39"/>
      <c r="O150" s="40" t="s">
        <v>0</v>
      </c>
      <c r="P150" s="39"/>
      <c r="Q150" s="39"/>
      <c r="R150" s="40" t="s">
        <v>0</v>
      </c>
      <c r="S150" s="39"/>
      <c r="T150" s="39"/>
      <c r="U150" s="40" t="s">
        <v>0</v>
      </c>
      <c r="V150" s="39"/>
      <c r="W150" s="38"/>
      <c r="X150" s="38" t="str">
        <f t="shared" si="64"/>
        <v/>
      </c>
      <c r="Y150" s="40" t="s">
        <v>0</v>
      </c>
      <c r="Z150" s="38" t="str">
        <f t="shared" si="65"/>
        <v/>
      </c>
      <c r="AA150" s="38"/>
      <c r="AB150" s="38" t="str">
        <f t="shared" si="66"/>
        <v/>
      </c>
      <c r="AC150" s="40" t="s">
        <v>0</v>
      </c>
      <c r="AD150" s="38" t="str">
        <f t="shared" si="67"/>
        <v/>
      </c>
      <c r="AE150" s="57"/>
      <c r="AF150" s="38" t="str">
        <f t="shared" si="68"/>
        <v/>
      </c>
      <c r="AG150" s="40" t="s">
        <v>0</v>
      </c>
      <c r="AH150" s="38" t="str">
        <f t="shared" si="69"/>
        <v/>
      </c>
      <c r="AJ150" s="4" t="str">
        <f t="shared" si="72"/>
        <v>F-Ort</v>
      </c>
    </row>
    <row r="151" spans="1:40" ht="15.75" hidden="1">
      <c r="A151" s="3" t="str">
        <f t="shared" si="70"/>
        <v/>
      </c>
      <c r="B151" s="351">
        <f t="shared" si="71"/>
        <v>60789</v>
      </c>
      <c r="C151" s="41" t="s">
        <v>75</v>
      </c>
      <c r="D151" s="42">
        <v>5</v>
      </c>
      <c r="E151" s="3">
        <v>1</v>
      </c>
      <c r="F151" s="3" t="str">
        <f>IF(H151&lt;21,COUNTIF(H$6:H151,"&lt;21"),"")</f>
        <v/>
      </c>
      <c r="G151" s="7" t="str">
        <f t="shared" si="61"/>
        <v/>
      </c>
      <c r="H151" s="350">
        <v>21</v>
      </c>
      <c r="I151" s="30" t="s">
        <v>16</v>
      </c>
      <c r="J151" s="350">
        <v>21</v>
      </c>
      <c r="K151" s="7" t="str">
        <f t="shared" si="62"/>
        <v/>
      </c>
      <c r="L151" s="350">
        <v>21</v>
      </c>
      <c r="M151" s="7" t="str">
        <f t="shared" si="63"/>
        <v/>
      </c>
      <c r="N151" s="39"/>
      <c r="O151" s="40" t="s">
        <v>0</v>
      </c>
      <c r="P151" s="39"/>
      <c r="Q151" s="39"/>
      <c r="R151" s="40" t="s">
        <v>0</v>
      </c>
      <c r="S151" s="39"/>
      <c r="T151" s="39"/>
      <c r="U151" s="40" t="s">
        <v>0</v>
      </c>
      <c r="V151" s="39"/>
      <c r="W151" s="38"/>
      <c r="X151" s="38" t="str">
        <f t="shared" si="64"/>
        <v/>
      </c>
      <c r="Y151" s="40" t="s">
        <v>0</v>
      </c>
      <c r="Z151" s="38" t="str">
        <f t="shared" si="65"/>
        <v/>
      </c>
      <c r="AA151" s="38"/>
      <c r="AB151" s="38" t="str">
        <f t="shared" si="66"/>
        <v/>
      </c>
      <c r="AC151" s="40" t="s">
        <v>0</v>
      </c>
      <c r="AD151" s="38" t="str">
        <f t="shared" si="67"/>
        <v/>
      </c>
      <c r="AE151" s="57"/>
      <c r="AF151" s="38" t="str">
        <f t="shared" si="68"/>
        <v/>
      </c>
      <c r="AG151" s="40" t="s">
        <v>0</v>
      </c>
      <c r="AH151" s="38" t="str">
        <f t="shared" si="69"/>
        <v/>
      </c>
      <c r="AJ151" s="4" t="str">
        <f t="shared" si="72"/>
        <v>F-Ort</v>
      </c>
    </row>
    <row r="152" spans="1:40" ht="15.75" hidden="1">
      <c r="A152" s="3" t="str">
        <f t="shared" si="70"/>
        <v/>
      </c>
      <c r="B152" s="351">
        <f t="shared" si="71"/>
        <v>60789</v>
      </c>
      <c r="C152" s="41" t="s">
        <v>75</v>
      </c>
      <c r="D152" s="42">
        <v>5</v>
      </c>
      <c r="E152" s="3">
        <v>1</v>
      </c>
      <c r="F152" s="3" t="str">
        <f>IF(H152&lt;21,COUNTIF(H$6:H152,"&lt;21"),"")</f>
        <v/>
      </c>
      <c r="G152" s="7" t="str">
        <f t="shared" si="61"/>
        <v/>
      </c>
      <c r="H152" s="350">
        <v>21</v>
      </c>
      <c r="I152" s="30" t="s">
        <v>16</v>
      </c>
      <c r="J152" s="350">
        <v>21</v>
      </c>
      <c r="K152" s="7" t="str">
        <f t="shared" si="62"/>
        <v/>
      </c>
      <c r="L152" s="350">
        <v>21</v>
      </c>
      <c r="M152" s="7" t="str">
        <f t="shared" si="63"/>
        <v/>
      </c>
      <c r="N152" s="39"/>
      <c r="O152" s="40" t="s">
        <v>0</v>
      </c>
      <c r="P152" s="39"/>
      <c r="Q152" s="39"/>
      <c r="R152" s="40" t="s">
        <v>0</v>
      </c>
      <c r="S152" s="39"/>
      <c r="T152" s="39"/>
      <c r="U152" s="40" t="s">
        <v>0</v>
      </c>
      <c r="V152" s="39"/>
      <c r="W152" s="38"/>
      <c r="X152" s="38" t="str">
        <f t="shared" si="64"/>
        <v/>
      </c>
      <c r="Y152" s="40" t="s">
        <v>0</v>
      </c>
      <c r="Z152" s="38" t="str">
        <f t="shared" si="65"/>
        <v/>
      </c>
      <c r="AA152" s="38"/>
      <c r="AB152" s="38" t="str">
        <f t="shared" si="66"/>
        <v/>
      </c>
      <c r="AC152" s="40" t="s">
        <v>0</v>
      </c>
      <c r="AD152" s="38" t="str">
        <f t="shared" si="67"/>
        <v/>
      </c>
      <c r="AE152" s="57"/>
      <c r="AF152" s="38" t="str">
        <f t="shared" si="68"/>
        <v/>
      </c>
      <c r="AG152" s="40" t="s">
        <v>0</v>
      </c>
      <c r="AH152" s="38" t="str">
        <f t="shared" si="69"/>
        <v/>
      </c>
      <c r="AJ152" s="4" t="str">
        <f t="shared" si="72"/>
        <v>F-Ort</v>
      </c>
    </row>
    <row r="153" spans="1:40" ht="15.75" hidden="1">
      <c r="A153" s="3" t="str">
        <f t="shared" si="70"/>
        <v/>
      </c>
      <c r="B153" s="351">
        <f t="shared" si="71"/>
        <v>60789</v>
      </c>
      <c r="C153" s="41" t="s">
        <v>75</v>
      </c>
      <c r="D153" s="42">
        <v>6</v>
      </c>
      <c r="E153" s="3">
        <v>1</v>
      </c>
      <c r="F153" s="3" t="str">
        <f>IF(H153&lt;21,COUNTIF(H$6:H153,"&lt;21"),"")</f>
        <v/>
      </c>
      <c r="G153" s="7" t="str">
        <f t="shared" si="61"/>
        <v/>
      </c>
      <c r="H153" s="350">
        <v>21</v>
      </c>
      <c r="I153" s="30" t="s">
        <v>16</v>
      </c>
      <c r="J153" s="350">
        <v>21</v>
      </c>
      <c r="K153" s="7" t="str">
        <f t="shared" si="62"/>
        <v/>
      </c>
      <c r="L153" s="350">
        <v>21</v>
      </c>
      <c r="M153" s="7" t="str">
        <f t="shared" si="63"/>
        <v/>
      </c>
      <c r="N153" s="39"/>
      <c r="O153" s="40" t="s">
        <v>0</v>
      </c>
      <c r="P153" s="39"/>
      <c r="Q153" s="39"/>
      <c r="R153" s="40" t="s">
        <v>0</v>
      </c>
      <c r="S153" s="39"/>
      <c r="T153" s="39"/>
      <c r="U153" s="40" t="s">
        <v>0</v>
      </c>
      <c r="V153" s="39"/>
      <c r="W153" s="38"/>
      <c r="X153" s="38" t="str">
        <f t="shared" si="64"/>
        <v/>
      </c>
      <c r="Y153" s="40" t="s">
        <v>0</v>
      </c>
      <c r="Z153" s="38" t="str">
        <f t="shared" si="65"/>
        <v/>
      </c>
      <c r="AA153" s="38"/>
      <c r="AB153" s="38" t="str">
        <f t="shared" si="66"/>
        <v/>
      </c>
      <c r="AC153" s="40" t="s">
        <v>0</v>
      </c>
      <c r="AD153" s="38" t="str">
        <f t="shared" si="67"/>
        <v/>
      </c>
      <c r="AE153" s="57"/>
      <c r="AF153" s="38" t="str">
        <f t="shared" si="68"/>
        <v/>
      </c>
      <c r="AG153" s="40" t="s">
        <v>0</v>
      </c>
      <c r="AH153" s="38" t="str">
        <f t="shared" si="69"/>
        <v/>
      </c>
      <c r="AJ153" s="4" t="str">
        <f t="shared" si="72"/>
        <v>F-Ort</v>
      </c>
    </row>
    <row r="154" spans="1:40" ht="15.75" hidden="1">
      <c r="A154" s="3" t="str">
        <f t="shared" si="70"/>
        <v/>
      </c>
      <c r="B154" s="351">
        <f t="shared" si="71"/>
        <v>60789</v>
      </c>
      <c r="C154" s="41" t="s">
        <v>75</v>
      </c>
      <c r="D154" s="42">
        <v>6</v>
      </c>
      <c r="E154" s="3">
        <v>1</v>
      </c>
      <c r="F154" s="3" t="str">
        <f>IF(H154&lt;21,COUNTIF(H$6:H154,"&lt;21"),"")</f>
        <v/>
      </c>
      <c r="G154" s="7" t="str">
        <f t="shared" si="61"/>
        <v/>
      </c>
      <c r="H154" s="350">
        <v>21</v>
      </c>
      <c r="I154" s="30" t="s">
        <v>16</v>
      </c>
      <c r="J154" s="350">
        <v>21</v>
      </c>
      <c r="K154" s="7" t="str">
        <f t="shared" si="62"/>
        <v/>
      </c>
      <c r="L154" s="350">
        <v>21</v>
      </c>
      <c r="M154" s="7" t="str">
        <f t="shared" si="63"/>
        <v/>
      </c>
      <c r="N154" s="39"/>
      <c r="O154" s="40" t="s">
        <v>0</v>
      </c>
      <c r="P154" s="39"/>
      <c r="Q154" s="39"/>
      <c r="R154" s="40" t="s">
        <v>0</v>
      </c>
      <c r="S154" s="39"/>
      <c r="T154" s="39"/>
      <c r="U154" s="40" t="s">
        <v>0</v>
      </c>
      <c r="V154" s="39"/>
      <c r="W154" s="38"/>
      <c r="X154" s="38" t="str">
        <f t="shared" si="64"/>
        <v/>
      </c>
      <c r="Y154" s="40" t="s">
        <v>0</v>
      </c>
      <c r="Z154" s="38" t="str">
        <f t="shared" si="65"/>
        <v/>
      </c>
      <c r="AA154" s="38"/>
      <c r="AB154" s="38" t="str">
        <f t="shared" si="66"/>
        <v/>
      </c>
      <c r="AC154" s="40" t="s">
        <v>0</v>
      </c>
      <c r="AD154" s="38" t="str">
        <f t="shared" si="67"/>
        <v/>
      </c>
      <c r="AE154" s="57"/>
      <c r="AF154" s="38" t="str">
        <f t="shared" si="68"/>
        <v/>
      </c>
      <c r="AG154" s="40" t="s">
        <v>0</v>
      </c>
      <c r="AH154" s="38" t="str">
        <f t="shared" si="69"/>
        <v/>
      </c>
      <c r="AJ154" s="4" t="str">
        <f t="shared" si="72"/>
        <v>F-Ort</v>
      </c>
    </row>
    <row r="155" spans="1:40" ht="15.75" hidden="1">
      <c r="A155" s="3" t="str">
        <f t="shared" si="70"/>
        <v/>
      </c>
      <c r="B155" s="351">
        <f t="shared" si="71"/>
        <v>60789</v>
      </c>
      <c r="C155" s="41" t="s">
        <v>75</v>
      </c>
      <c r="D155" s="42">
        <v>6</v>
      </c>
      <c r="E155" s="3">
        <v>1</v>
      </c>
      <c r="F155" s="3" t="str">
        <f>IF(H155&lt;21,COUNTIF(H$6:H155,"&lt;21"),"")</f>
        <v/>
      </c>
      <c r="G155" s="7" t="str">
        <f t="shared" si="61"/>
        <v/>
      </c>
      <c r="H155" s="350">
        <v>21</v>
      </c>
      <c r="I155" s="30" t="s">
        <v>16</v>
      </c>
      <c r="J155" s="350">
        <v>21</v>
      </c>
      <c r="K155" s="7" t="str">
        <f t="shared" si="62"/>
        <v/>
      </c>
      <c r="L155" s="350">
        <v>21</v>
      </c>
      <c r="M155" s="7" t="str">
        <f t="shared" si="63"/>
        <v/>
      </c>
      <c r="N155" s="39"/>
      <c r="O155" s="40" t="s">
        <v>0</v>
      </c>
      <c r="P155" s="39"/>
      <c r="Q155" s="39"/>
      <c r="R155" s="40" t="s">
        <v>0</v>
      </c>
      <c r="S155" s="39"/>
      <c r="T155" s="39"/>
      <c r="U155" s="40" t="s">
        <v>0</v>
      </c>
      <c r="V155" s="39"/>
      <c r="W155" s="38"/>
      <c r="X155" s="38" t="str">
        <f t="shared" si="64"/>
        <v/>
      </c>
      <c r="Y155" s="40" t="s">
        <v>0</v>
      </c>
      <c r="Z155" s="38" t="str">
        <f t="shared" si="65"/>
        <v/>
      </c>
      <c r="AA155" s="38"/>
      <c r="AB155" s="38" t="str">
        <f t="shared" si="66"/>
        <v/>
      </c>
      <c r="AC155" s="40" t="s">
        <v>0</v>
      </c>
      <c r="AD155" s="38" t="str">
        <f t="shared" si="67"/>
        <v/>
      </c>
      <c r="AE155" s="57"/>
      <c r="AF155" s="38" t="str">
        <f t="shared" si="68"/>
        <v/>
      </c>
      <c r="AG155" s="40" t="s">
        <v>0</v>
      </c>
      <c r="AH155" s="38" t="str">
        <f t="shared" si="69"/>
        <v/>
      </c>
      <c r="AJ155" s="4" t="str">
        <f t="shared" si="72"/>
        <v>F-Ort</v>
      </c>
    </row>
    <row r="156" spans="1:40" ht="15.75" hidden="1">
      <c r="A156" s="3" t="str">
        <f t="shared" si="70"/>
        <v/>
      </c>
      <c r="B156" s="351">
        <f t="shared" si="71"/>
        <v>60789</v>
      </c>
      <c r="C156" s="41" t="s">
        <v>75</v>
      </c>
      <c r="D156" s="42">
        <v>6</v>
      </c>
      <c r="E156" s="3">
        <v>1</v>
      </c>
      <c r="F156" s="3" t="str">
        <f>IF(H156&lt;21,COUNTIF(H$6:H156,"&lt;21"),"")</f>
        <v/>
      </c>
      <c r="G156" s="7" t="str">
        <f t="shared" si="61"/>
        <v/>
      </c>
      <c r="H156" s="350">
        <v>21</v>
      </c>
      <c r="I156" s="30" t="s">
        <v>16</v>
      </c>
      <c r="J156" s="350">
        <v>21</v>
      </c>
      <c r="K156" s="7" t="str">
        <f t="shared" si="62"/>
        <v/>
      </c>
      <c r="L156" s="350">
        <v>21</v>
      </c>
      <c r="M156" s="7" t="str">
        <f t="shared" si="63"/>
        <v/>
      </c>
      <c r="N156" s="39"/>
      <c r="O156" s="40" t="s">
        <v>0</v>
      </c>
      <c r="P156" s="39"/>
      <c r="Q156" s="39"/>
      <c r="R156" s="40" t="s">
        <v>0</v>
      </c>
      <c r="S156" s="39"/>
      <c r="T156" s="39"/>
      <c r="U156" s="40" t="s">
        <v>0</v>
      </c>
      <c r="V156" s="39"/>
      <c r="W156" s="38"/>
      <c r="X156" s="38" t="str">
        <f t="shared" si="64"/>
        <v/>
      </c>
      <c r="Y156" s="40" t="s">
        <v>0</v>
      </c>
      <c r="Z156" s="38" t="str">
        <f t="shared" si="65"/>
        <v/>
      </c>
      <c r="AA156" s="38"/>
      <c r="AB156" s="38" t="str">
        <f t="shared" si="66"/>
        <v/>
      </c>
      <c r="AC156" s="40" t="s">
        <v>0</v>
      </c>
      <c r="AD156" s="38" t="str">
        <f t="shared" si="67"/>
        <v/>
      </c>
      <c r="AE156" s="57"/>
      <c r="AF156" s="38" t="str">
        <f t="shared" si="68"/>
        <v/>
      </c>
      <c r="AG156" s="40" t="s">
        <v>0</v>
      </c>
      <c r="AH156" s="38" t="str">
        <f t="shared" si="69"/>
        <v/>
      </c>
      <c r="AJ156" s="4" t="str">
        <f t="shared" si="72"/>
        <v>F-Ort</v>
      </c>
    </row>
    <row r="157" spans="1:40" ht="15.75" hidden="1">
      <c r="A157" s="3" t="str">
        <f t="shared" si="70"/>
        <v/>
      </c>
      <c r="B157" s="351">
        <f t="shared" si="71"/>
        <v>60789</v>
      </c>
      <c r="C157" s="41" t="s">
        <v>75</v>
      </c>
      <c r="D157" s="42">
        <v>5</v>
      </c>
      <c r="E157" s="3">
        <v>1</v>
      </c>
      <c r="F157" s="3" t="str">
        <f>IF(H157&lt;21,COUNTIF(H$6:H157,"&lt;21"),"")</f>
        <v/>
      </c>
      <c r="G157" s="7" t="str">
        <f t="shared" si="61"/>
        <v/>
      </c>
      <c r="H157" s="350">
        <v>21</v>
      </c>
      <c r="I157" s="30" t="s">
        <v>16</v>
      </c>
      <c r="J157" s="350">
        <v>21</v>
      </c>
      <c r="K157" s="7" t="str">
        <f t="shared" si="62"/>
        <v/>
      </c>
      <c r="L157" s="350">
        <v>21</v>
      </c>
      <c r="M157" s="7" t="str">
        <f t="shared" si="63"/>
        <v/>
      </c>
      <c r="N157" s="39"/>
      <c r="O157" s="40" t="s">
        <v>0</v>
      </c>
      <c r="P157" s="39"/>
      <c r="Q157" s="39"/>
      <c r="R157" s="40" t="s">
        <v>0</v>
      </c>
      <c r="S157" s="39"/>
      <c r="T157" s="39"/>
      <c r="U157" s="40" t="s">
        <v>0</v>
      </c>
      <c r="V157" s="39"/>
      <c r="W157" s="38"/>
      <c r="X157" s="38" t="str">
        <f t="shared" si="64"/>
        <v/>
      </c>
      <c r="Y157" s="40" t="s">
        <v>0</v>
      </c>
      <c r="Z157" s="38" t="str">
        <f t="shared" si="65"/>
        <v/>
      </c>
      <c r="AA157" s="38"/>
      <c r="AB157" s="38" t="str">
        <f t="shared" si="66"/>
        <v/>
      </c>
      <c r="AC157" s="40" t="s">
        <v>0</v>
      </c>
      <c r="AD157" s="38" t="str">
        <f t="shared" si="67"/>
        <v/>
      </c>
      <c r="AE157" s="57"/>
      <c r="AF157" s="38" t="str">
        <f t="shared" si="68"/>
        <v/>
      </c>
      <c r="AG157" s="40" t="s">
        <v>0</v>
      </c>
      <c r="AH157" s="38" t="str">
        <f t="shared" si="69"/>
        <v/>
      </c>
      <c r="AJ157" s="4" t="str">
        <f t="shared" si="72"/>
        <v>F-Ort</v>
      </c>
    </row>
    <row r="158" spans="1:40" ht="15.75" hidden="1">
      <c r="A158" s="3" t="str">
        <f t="shared" si="70"/>
        <v/>
      </c>
      <c r="B158" s="351">
        <f t="shared" si="71"/>
        <v>60789</v>
      </c>
      <c r="C158" s="41" t="s">
        <v>75</v>
      </c>
      <c r="D158" s="42">
        <v>5</v>
      </c>
      <c r="E158" s="3">
        <v>1</v>
      </c>
      <c r="F158" s="3" t="str">
        <f>IF(H158&lt;21,COUNTIF(H$6:H158,"&lt;21"),"")</f>
        <v/>
      </c>
      <c r="G158" s="7" t="str">
        <f t="shared" si="61"/>
        <v/>
      </c>
      <c r="H158" s="350">
        <v>21</v>
      </c>
      <c r="I158" s="30" t="s">
        <v>16</v>
      </c>
      <c r="J158" s="350">
        <v>21</v>
      </c>
      <c r="K158" s="7" t="str">
        <f t="shared" si="62"/>
        <v/>
      </c>
      <c r="L158" s="350">
        <v>21</v>
      </c>
      <c r="M158" s="7" t="str">
        <f t="shared" si="63"/>
        <v/>
      </c>
      <c r="N158" s="39"/>
      <c r="O158" s="40" t="s">
        <v>0</v>
      </c>
      <c r="P158" s="39"/>
      <c r="Q158" s="39"/>
      <c r="R158" s="40" t="s">
        <v>0</v>
      </c>
      <c r="S158" s="39"/>
      <c r="T158" s="39"/>
      <c r="U158" s="40" t="s">
        <v>0</v>
      </c>
      <c r="V158" s="39"/>
      <c r="W158" s="38"/>
      <c r="X158" s="38" t="str">
        <f t="shared" si="64"/>
        <v/>
      </c>
      <c r="Y158" s="40" t="s">
        <v>0</v>
      </c>
      <c r="Z158" s="38" t="str">
        <f t="shared" si="65"/>
        <v/>
      </c>
      <c r="AA158" s="38"/>
      <c r="AB158" s="38" t="str">
        <f t="shared" si="66"/>
        <v/>
      </c>
      <c r="AC158" s="40" t="s">
        <v>0</v>
      </c>
      <c r="AD158" s="38" t="str">
        <f t="shared" si="67"/>
        <v/>
      </c>
      <c r="AE158" s="57"/>
      <c r="AF158" s="38" t="str">
        <f t="shared" si="68"/>
        <v/>
      </c>
      <c r="AG158" s="40" t="s">
        <v>0</v>
      </c>
      <c r="AH158" s="38" t="str">
        <f t="shared" si="69"/>
        <v/>
      </c>
      <c r="AJ158" s="4" t="str">
        <f t="shared" si="72"/>
        <v>F-Ort</v>
      </c>
    </row>
    <row r="159" spans="1:40" ht="15.75" hidden="1">
      <c r="A159" s="3" t="str">
        <f t="shared" si="70"/>
        <v/>
      </c>
      <c r="B159" s="351">
        <f t="shared" si="71"/>
        <v>60789</v>
      </c>
      <c r="C159" s="41" t="s">
        <v>75</v>
      </c>
      <c r="D159" s="42">
        <v>6</v>
      </c>
      <c r="E159" s="3">
        <v>1</v>
      </c>
      <c r="F159" s="3" t="str">
        <f>IF(H159&lt;21,COUNTIF(H$6:H159,"&lt;21"),"")</f>
        <v/>
      </c>
      <c r="G159" s="7" t="str">
        <f t="shared" si="61"/>
        <v/>
      </c>
      <c r="H159" s="350">
        <v>21</v>
      </c>
      <c r="I159" s="30" t="s">
        <v>16</v>
      </c>
      <c r="J159" s="350">
        <v>21</v>
      </c>
      <c r="K159" s="7" t="str">
        <f t="shared" si="62"/>
        <v/>
      </c>
      <c r="L159" s="350">
        <v>21</v>
      </c>
      <c r="M159" s="7" t="str">
        <f t="shared" si="63"/>
        <v/>
      </c>
      <c r="N159" s="39"/>
      <c r="O159" s="40" t="s">
        <v>0</v>
      </c>
      <c r="P159" s="39"/>
      <c r="Q159" s="39"/>
      <c r="R159" s="40" t="s">
        <v>0</v>
      </c>
      <c r="S159" s="39"/>
      <c r="T159" s="39"/>
      <c r="U159" s="40" t="s">
        <v>0</v>
      </c>
      <c r="V159" s="39"/>
      <c r="W159" s="38"/>
      <c r="X159" s="38" t="str">
        <f t="shared" si="64"/>
        <v/>
      </c>
      <c r="Y159" s="40" t="s">
        <v>0</v>
      </c>
      <c r="Z159" s="38" t="str">
        <f t="shared" si="65"/>
        <v/>
      </c>
      <c r="AA159" s="38"/>
      <c r="AB159" s="38" t="str">
        <f t="shared" si="66"/>
        <v/>
      </c>
      <c r="AC159" s="40" t="s">
        <v>0</v>
      </c>
      <c r="AD159" s="38" t="str">
        <f t="shared" si="67"/>
        <v/>
      </c>
      <c r="AE159" s="57"/>
      <c r="AF159" s="38" t="str">
        <f t="shared" si="68"/>
        <v/>
      </c>
      <c r="AG159" s="40" t="s">
        <v>0</v>
      </c>
      <c r="AH159" s="38" t="str">
        <f t="shared" si="69"/>
        <v/>
      </c>
      <c r="AJ159" s="4" t="str">
        <f t="shared" si="72"/>
        <v>F-Ort</v>
      </c>
    </row>
    <row r="160" spans="1:40" ht="15.75" hidden="1">
      <c r="A160" s="3" t="str">
        <f t="shared" si="70"/>
        <v/>
      </c>
      <c r="B160" s="351">
        <f t="shared" si="71"/>
        <v>60789</v>
      </c>
      <c r="C160" s="41" t="s">
        <v>75</v>
      </c>
      <c r="D160" s="42">
        <v>6</v>
      </c>
      <c r="E160" s="3">
        <v>1</v>
      </c>
      <c r="F160" s="3" t="str">
        <f>IF(H160&lt;21,COUNTIF(H$6:H160,"&lt;21"),"")</f>
        <v/>
      </c>
      <c r="G160" s="7" t="str">
        <f t="shared" si="61"/>
        <v/>
      </c>
      <c r="H160" s="350">
        <v>21</v>
      </c>
      <c r="I160" s="30" t="s">
        <v>16</v>
      </c>
      <c r="J160" s="350">
        <v>21</v>
      </c>
      <c r="K160" s="7" t="str">
        <f t="shared" si="62"/>
        <v/>
      </c>
      <c r="L160" s="350">
        <v>21</v>
      </c>
      <c r="M160" s="7" t="str">
        <f t="shared" si="63"/>
        <v/>
      </c>
      <c r="N160" s="39"/>
      <c r="O160" s="40" t="s">
        <v>0</v>
      </c>
      <c r="P160" s="39"/>
      <c r="Q160" s="39"/>
      <c r="R160" s="40" t="s">
        <v>0</v>
      </c>
      <c r="S160" s="39"/>
      <c r="T160" s="39"/>
      <c r="U160" s="40" t="s">
        <v>0</v>
      </c>
      <c r="V160" s="39"/>
      <c r="W160" s="38"/>
      <c r="X160" s="38" t="str">
        <f t="shared" si="64"/>
        <v/>
      </c>
      <c r="Y160" s="40" t="s">
        <v>0</v>
      </c>
      <c r="Z160" s="38" t="str">
        <f t="shared" si="65"/>
        <v/>
      </c>
      <c r="AA160" s="38"/>
      <c r="AB160" s="38" t="str">
        <f t="shared" si="66"/>
        <v/>
      </c>
      <c r="AC160" s="40" t="s">
        <v>0</v>
      </c>
      <c r="AD160" s="38" t="str">
        <f t="shared" si="67"/>
        <v/>
      </c>
      <c r="AE160" s="57"/>
      <c r="AF160" s="38" t="str">
        <f t="shared" si="68"/>
        <v/>
      </c>
      <c r="AG160" s="40" t="s">
        <v>0</v>
      </c>
      <c r="AH160" s="38" t="str">
        <f t="shared" si="69"/>
        <v/>
      </c>
      <c r="AJ160" s="4" t="str">
        <f t="shared" si="72"/>
        <v>F-Ort</v>
      </c>
    </row>
    <row r="161" spans="1:38" ht="15.75" hidden="1">
      <c r="A161" s="3" t="str">
        <f t="shared" si="70"/>
        <v/>
      </c>
      <c r="B161" s="351">
        <f t="shared" si="71"/>
        <v>60789</v>
      </c>
      <c r="C161" s="41" t="s">
        <v>75</v>
      </c>
      <c r="D161" s="42">
        <v>6</v>
      </c>
      <c r="E161" s="3">
        <v>1</v>
      </c>
      <c r="F161" s="3" t="str">
        <f>IF(H161&lt;21,COUNTIF(H$6:H161,"&lt;21"),"")</f>
        <v/>
      </c>
      <c r="G161" s="7" t="str">
        <f t="shared" si="61"/>
        <v/>
      </c>
      <c r="H161" s="350">
        <v>21</v>
      </c>
      <c r="I161" s="30" t="s">
        <v>16</v>
      </c>
      <c r="J161" s="350">
        <v>21</v>
      </c>
      <c r="K161" s="7" t="str">
        <f t="shared" si="62"/>
        <v/>
      </c>
      <c r="L161" s="350">
        <v>21</v>
      </c>
      <c r="M161" s="7" t="str">
        <f t="shared" si="63"/>
        <v/>
      </c>
      <c r="N161" s="39"/>
      <c r="O161" s="40" t="s">
        <v>0</v>
      </c>
      <c r="P161" s="39"/>
      <c r="Q161" s="39"/>
      <c r="R161" s="40" t="s">
        <v>0</v>
      </c>
      <c r="S161" s="39"/>
      <c r="T161" s="39"/>
      <c r="U161" s="40" t="s">
        <v>0</v>
      </c>
      <c r="V161" s="39"/>
      <c r="W161" s="38"/>
      <c r="X161" s="38" t="str">
        <f t="shared" si="64"/>
        <v/>
      </c>
      <c r="Y161" s="40" t="s">
        <v>0</v>
      </c>
      <c r="Z161" s="38" t="str">
        <f t="shared" si="65"/>
        <v/>
      </c>
      <c r="AA161" s="38"/>
      <c r="AB161" s="38" t="str">
        <f t="shared" si="66"/>
        <v/>
      </c>
      <c r="AC161" s="40" t="s">
        <v>0</v>
      </c>
      <c r="AD161" s="38" t="str">
        <f t="shared" si="67"/>
        <v/>
      </c>
      <c r="AE161" s="57"/>
      <c r="AF161" s="38" t="str">
        <f t="shared" si="68"/>
        <v/>
      </c>
      <c r="AG161" s="40" t="s">
        <v>0</v>
      </c>
      <c r="AH161" s="38" t="str">
        <f t="shared" si="69"/>
        <v/>
      </c>
      <c r="AJ161" s="4" t="str">
        <f t="shared" si="72"/>
        <v>F-Ort</v>
      </c>
    </row>
    <row r="162" spans="1:38" ht="15.75" hidden="1">
      <c r="A162" s="3" t="str">
        <f t="shared" si="70"/>
        <v/>
      </c>
      <c r="B162" s="351">
        <f t="shared" si="71"/>
        <v>60789</v>
      </c>
      <c r="C162" s="41" t="s">
        <v>75</v>
      </c>
      <c r="D162" s="42">
        <v>6</v>
      </c>
      <c r="E162" s="3">
        <v>1</v>
      </c>
      <c r="F162" s="3" t="str">
        <f>IF(H162&lt;21,COUNTIF(H$6:H162,"&lt;21"),"")</f>
        <v/>
      </c>
      <c r="G162" s="7" t="str">
        <f t="shared" si="61"/>
        <v/>
      </c>
      <c r="H162" s="350">
        <v>21</v>
      </c>
      <c r="I162" s="30" t="s">
        <v>16</v>
      </c>
      <c r="J162" s="350">
        <v>21</v>
      </c>
      <c r="K162" s="7" t="str">
        <f t="shared" si="62"/>
        <v/>
      </c>
      <c r="L162" s="350">
        <v>21</v>
      </c>
      <c r="M162" s="7" t="str">
        <f t="shared" si="63"/>
        <v/>
      </c>
      <c r="N162" s="39"/>
      <c r="O162" s="40" t="s">
        <v>0</v>
      </c>
      <c r="P162" s="39"/>
      <c r="Q162" s="39"/>
      <c r="R162" s="40" t="s">
        <v>0</v>
      </c>
      <c r="S162" s="39"/>
      <c r="T162" s="39"/>
      <c r="U162" s="40" t="s">
        <v>0</v>
      </c>
      <c r="V162" s="39"/>
      <c r="W162" s="38"/>
      <c r="X162" s="38" t="str">
        <f t="shared" si="64"/>
        <v/>
      </c>
      <c r="Y162" s="40" t="s">
        <v>0</v>
      </c>
      <c r="Z162" s="38" t="str">
        <f t="shared" si="65"/>
        <v/>
      </c>
      <c r="AA162" s="38"/>
      <c r="AB162" s="38" t="str">
        <f t="shared" si="66"/>
        <v/>
      </c>
      <c r="AC162" s="40" t="s">
        <v>0</v>
      </c>
      <c r="AD162" s="38" t="str">
        <f t="shared" si="67"/>
        <v/>
      </c>
      <c r="AE162" s="57"/>
      <c r="AF162" s="38" t="str">
        <f t="shared" si="68"/>
        <v/>
      </c>
      <c r="AG162" s="40" t="s">
        <v>0</v>
      </c>
      <c r="AH162" s="38" t="str">
        <f t="shared" si="69"/>
        <v/>
      </c>
      <c r="AJ162" s="4" t="str">
        <f t="shared" si="72"/>
        <v>F-Ort</v>
      </c>
    </row>
    <row r="163" spans="1:38" hidden="1">
      <c r="A163" s="348"/>
      <c r="W163" s="35"/>
      <c r="X163" s="35"/>
      <c r="Y163" s="35"/>
      <c r="Z163" s="35"/>
      <c r="AE163" s="58"/>
    </row>
    <row r="164" spans="1:38" hidden="1">
      <c r="A164" s="150"/>
      <c r="B164" s="151"/>
      <c r="W164" s="35"/>
      <c r="X164" s="35"/>
      <c r="Y164" s="35"/>
      <c r="Z164" s="35"/>
      <c r="AE164" s="58"/>
    </row>
    <row r="165" spans="1:38" hidden="1">
      <c r="A165" s="150"/>
      <c r="B165" s="151"/>
      <c r="W165" s="35"/>
      <c r="X165" s="35"/>
      <c r="Y165" s="35"/>
      <c r="Z165" s="35"/>
      <c r="AE165" s="58"/>
      <c r="AL165" s="4" t="s">
        <v>132</v>
      </c>
    </row>
  </sheetData>
  <sheetProtection selectLockedCells="1"/>
  <dataConsolidate/>
  <mergeCells count="39">
    <mergeCell ref="N132:P132"/>
    <mergeCell ref="Q132:S132"/>
    <mergeCell ref="T132:V132"/>
    <mergeCell ref="X132:Z132"/>
    <mergeCell ref="AB132:AD132"/>
    <mergeCell ref="AF132:AH132"/>
    <mergeCell ref="AF76:AH76"/>
    <mergeCell ref="N105:P105"/>
    <mergeCell ref="Q105:S105"/>
    <mergeCell ref="T105:V105"/>
    <mergeCell ref="X105:Z105"/>
    <mergeCell ref="AB105:AD105"/>
    <mergeCell ref="AF105:AH105"/>
    <mergeCell ref="AF47:AH47"/>
    <mergeCell ref="N34:P34"/>
    <mergeCell ref="Q34:S34"/>
    <mergeCell ref="T34:V34"/>
    <mergeCell ref="X34:Z34"/>
    <mergeCell ref="AB34:AD34"/>
    <mergeCell ref="AF34:AH34"/>
    <mergeCell ref="N47:P47"/>
    <mergeCell ref="Q47:S47"/>
    <mergeCell ref="T47:V47"/>
    <mergeCell ref="X47:Z47"/>
    <mergeCell ref="AB47:AD47"/>
    <mergeCell ref="N76:P76"/>
    <mergeCell ref="Q76:S76"/>
    <mergeCell ref="T76:V76"/>
    <mergeCell ref="X76:Z76"/>
    <mergeCell ref="AB76:AD76"/>
    <mergeCell ref="F1:Y1"/>
    <mergeCell ref="AF5:AH5"/>
    <mergeCell ref="Q5:S5"/>
    <mergeCell ref="X5:Z5"/>
    <mergeCell ref="F2:Y2"/>
    <mergeCell ref="AB5:AD5"/>
    <mergeCell ref="T5:V5"/>
    <mergeCell ref="N5:P5"/>
    <mergeCell ref="F3:Y3"/>
  </mergeCells>
  <phoneticPr fontId="0" type="noConversion"/>
  <pageMargins left="0.98425196850393704" right="0.39370078740157483" top="0.78740157480314965" bottom="0.39370078740157483" header="0.51181102362204722" footer="0.51181102362204722"/>
  <pageSetup paperSize="9" scale="74" fitToHeight="0" orientation="landscape" horizontalDpi="4294967294" r:id="rId1"/>
  <headerFooter alignWithMargins="0"/>
  <rowBreaks count="1" manualBreakCount="1">
    <brk id="101" min="2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13" sqref="D13"/>
    </sheetView>
  </sheetViews>
  <sheetFormatPr baseColWidth="10" defaultRowHeight="14.25"/>
  <cols>
    <col min="1" max="1" width="4" style="78" customWidth="1"/>
    <col min="2" max="2" width="2.5703125" style="78" customWidth="1"/>
    <col min="3" max="3" width="12.42578125" style="78" customWidth="1"/>
    <col min="4" max="4" width="10.42578125" style="78" bestFit="1" customWidth="1"/>
    <col min="5" max="8" width="8.7109375" style="78" customWidth="1"/>
    <col min="9" max="10" width="9.28515625" style="78" bestFit="1" customWidth="1"/>
    <col min="11" max="11" width="16" style="78" customWidth="1"/>
    <col min="12" max="16384" width="11.42578125" style="78"/>
  </cols>
  <sheetData>
    <row r="1" spans="1:11" s="77" customFormat="1" ht="23.25">
      <c r="D1" s="515" t="s">
        <v>40</v>
      </c>
      <c r="E1" s="474"/>
      <c r="F1" s="474"/>
      <c r="G1" s="474"/>
      <c r="H1" s="474"/>
      <c r="I1" s="474"/>
      <c r="J1" s="474"/>
    </row>
    <row r="2" spans="1:11" s="77" customFormat="1" ht="23.25">
      <c r="D2" s="489">
        <f>Platzierung!U6</f>
        <v>0</v>
      </c>
      <c r="E2" s="489"/>
      <c r="F2" s="489"/>
      <c r="G2" s="489"/>
      <c r="H2" s="489"/>
      <c r="I2" s="489"/>
      <c r="J2" s="489"/>
    </row>
    <row r="3" spans="1:11" s="77" customFormat="1" ht="23.25">
      <c r="D3" s="489">
        <f>Platzierung!U4</f>
        <v>0</v>
      </c>
      <c r="E3" s="489"/>
      <c r="F3" s="489"/>
      <c r="G3" s="489"/>
      <c r="H3" s="489"/>
      <c r="I3" s="489"/>
      <c r="J3" s="489"/>
    </row>
    <row r="4" spans="1:11" s="77" customFormat="1" ht="23.25">
      <c r="A4" s="498" t="s">
        <v>41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</row>
    <row r="5" spans="1:11" ht="15" thickBot="1"/>
    <row r="6" spans="1:11" s="82" customFormat="1" ht="15">
      <c r="A6" s="79" t="s">
        <v>61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15.75" thickBot="1">
      <c r="A7" s="511" t="s">
        <v>42</v>
      </c>
      <c r="B7" s="512"/>
      <c r="C7" s="512"/>
      <c r="D7" s="512"/>
      <c r="E7" s="512"/>
      <c r="F7" s="512"/>
      <c r="G7" s="512"/>
      <c r="H7" s="512"/>
      <c r="I7" s="512"/>
      <c r="J7" s="512"/>
      <c r="K7" s="76"/>
    </row>
    <row r="8" spans="1:11" ht="15">
      <c r="A8" s="83"/>
      <c r="B8" s="84"/>
      <c r="C8" s="85"/>
      <c r="D8" s="86"/>
      <c r="E8" s="513" t="s">
        <v>43</v>
      </c>
      <c r="F8" s="516"/>
      <c r="G8" s="516"/>
      <c r="H8" s="517"/>
      <c r="I8" s="513" t="s">
        <v>44</v>
      </c>
      <c r="J8" s="514"/>
      <c r="K8" s="87"/>
    </row>
    <row r="9" spans="1:11" ht="23.25" customHeight="1">
      <c r="A9" s="88"/>
      <c r="B9" s="89"/>
      <c r="C9" s="90"/>
      <c r="D9" s="91" t="s">
        <v>45</v>
      </c>
      <c r="E9" s="492" t="s">
        <v>46</v>
      </c>
      <c r="F9" s="493"/>
      <c r="G9" s="493"/>
      <c r="H9" s="494"/>
      <c r="I9" s="122">
        <f>Platzierung!U7</f>
        <v>0</v>
      </c>
      <c r="J9" s="121" t="s">
        <v>68</v>
      </c>
      <c r="K9" s="92"/>
    </row>
    <row r="10" spans="1:11" ht="15" customHeight="1">
      <c r="A10" s="93"/>
      <c r="B10" s="94"/>
      <c r="C10" s="95"/>
      <c r="D10" s="96"/>
      <c r="E10" s="97"/>
      <c r="F10" s="98" t="s">
        <v>47</v>
      </c>
      <c r="G10" s="98"/>
      <c r="H10" s="96"/>
      <c r="I10" s="99"/>
      <c r="J10" s="96"/>
      <c r="K10" s="100"/>
    </row>
    <row r="11" spans="1:11" ht="15" customHeight="1">
      <c r="A11" s="93"/>
      <c r="B11" s="94"/>
      <c r="C11" s="95"/>
      <c r="D11" s="96" t="s">
        <v>48</v>
      </c>
      <c r="E11" s="97" t="s">
        <v>49</v>
      </c>
      <c r="F11" s="98" t="s">
        <v>49</v>
      </c>
      <c r="G11" s="98" t="s">
        <v>50</v>
      </c>
      <c r="H11" s="101" t="s">
        <v>51</v>
      </c>
      <c r="I11" s="97"/>
      <c r="J11" s="96" t="s">
        <v>47</v>
      </c>
      <c r="K11" s="100" t="s">
        <v>52</v>
      </c>
    </row>
    <row r="12" spans="1:11" ht="15" customHeight="1">
      <c r="A12" s="523" t="s">
        <v>53</v>
      </c>
      <c r="B12" s="524"/>
      <c r="C12" s="525"/>
      <c r="D12" s="102" t="s">
        <v>54</v>
      </c>
      <c r="E12" s="103" t="s">
        <v>55</v>
      </c>
      <c r="F12" s="104" t="s">
        <v>55</v>
      </c>
      <c r="G12" s="105" t="s">
        <v>55</v>
      </c>
      <c r="H12" s="106" t="s">
        <v>55</v>
      </c>
      <c r="I12" s="103" t="s">
        <v>56</v>
      </c>
      <c r="J12" s="102" t="s">
        <v>56</v>
      </c>
      <c r="K12" s="107"/>
    </row>
    <row r="13" spans="1:11" ht="22.5" customHeight="1">
      <c r="A13" s="505" t="str">
        <f>Platzierung!T21</f>
        <v>Team 1</v>
      </c>
      <c r="B13" s="506"/>
      <c r="C13" s="507"/>
      <c r="D13" s="134"/>
      <c r="E13" s="135"/>
      <c r="F13" s="136"/>
      <c r="G13" s="136"/>
      <c r="H13" s="137"/>
      <c r="I13" s="135"/>
      <c r="J13" s="137"/>
      <c r="K13" s="138"/>
    </row>
    <row r="14" spans="1:11" ht="22.5" customHeight="1">
      <c r="A14" s="502" t="str">
        <f>Platzierung!T22</f>
        <v>Team 2</v>
      </c>
      <c r="B14" s="503"/>
      <c r="C14" s="504"/>
      <c r="D14" s="134"/>
      <c r="E14" s="135"/>
      <c r="F14" s="136"/>
      <c r="G14" s="136"/>
      <c r="H14" s="137"/>
      <c r="I14" s="135"/>
      <c r="J14" s="137"/>
      <c r="K14" s="138"/>
    </row>
    <row r="15" spans="1:11" ht="22.5" customHeight="1">
      <c r="A15" s="505" t="str">
        <f>Platzierung!T23</f>
        <v>Team 3</v>
      </c>
      <c r="B15" s="506"/>
      <c r="C15" s="507"/>
      <c r="D15" s="134"/>
      <c r="E15" s="135"/>
      <c r="F15" s="136"/>
      <c r="G15" s="136"/>
      <c r="H15" s="137"/>
      <c r="I15" s="135"/>
      <c r="J15" s="137"/>
      <c r="K15" s="138"/>
    </row>
    <row r="16" spans="1:11" ht="22.5" customHeight="1">
      <c r="A16" s="502" t="str">
        <f>Platzierung!T24</f>
        <v>Team 4</v>
      </c>
      <c r="B16" s="503"/>
      <c r="C16" s="504"/>
      <c r="D16" s="134"/>
      <c r="E16" s="135"/>
      <c r="F16" s="136"/>
      <c r="G16" s="136"/>
      <c r="H16" s="137"/>
      <c r="I16" s="135"/>
      <c r="J16" s="137"/>
      <c r="K16" s="138"/>
    </row>
    <row r="17" spans="1:11" ht="22.5" customHeight="1">
      <c r="A17" s="505" t="str">
        <f>Platzierung!T25</f>
        <v>Team 5</v>
      </c>
      <c r="B17" s="506"/>
      <c r="C17" s="507"/>
      <c r="D17" s="134"/>
      <c r="E17" s="135"/>
      <c r="F17" s="136"/>
      <c r="G17" s="136"/>
      <c r="H17" s="137"/>
      <c r="I17" s="135"/>
      <c r="J17" s="137"/>
      <c r="K17" s="138"/>
    </row>
    <row r="18" spans="1:11" ht="22.5" customHeight="1">
      <c r="A18" s="502" t="str">
        <f>Platzierung!T26</f>
        <v>Team 6</v>
      </c>
      <c r="B18" s="503"/>
      <c r="C18" s="504"/>
      <c r="D18" s="134"/>
      <c r="E18" s="135"/>
      <c r="F18" s="136"/>
      <c r="G18" s="136"/>
      <c r="H18" s="137"/>
      <c r="I18" s="135"/>
      <c r="J18" s="137"/>
      <c r="K18" s="138"/>
    </row>
    <row r="19" spans="1:11" ht="22.5" customHeight="1">
      <c r="A19" s="505" t="str">
        <f>Platzierung!T27</f>
        <v>Team 7</v>
      </c>
      <c r="B19" s="506"/>
      <c r="C19" s="507"/>
      <c r="D19" s="134"/>
      <c r="E19" s="135"/>
      <c r="F19" s="136"/>
      <c r="G19" s="136"/>
      <c r="H19" s="137"/>
      <c r="I19" s="135"/>
      <c r="J19" s="137"/>
      <c r="K19" s="138"/>
    </row>
    <row r="20" spans="1:11" ht="22.5" customHeight="1">
      <c r="A20" s="502" t="str">
        <f>Platzierung!T28</f>
        <v>Team 8</v>
      </c>
      <c r="B20" s="503"/>
      <c r="C20" s="504"/>
      <c r="D20" s="134"/>
      <c r="E20" s="135"/>
      <c r="F20" s="136"/>
      <c r="G20" s="136"/>
      <c r="H20" s="137"/>
      <c r="I20" s="135"/>
      <c r="J20" s="137"/>
      <c r="K20" s="138"/>
    </row>
    <row r="21" spans="1:11" ht="22.5" customHeight="1" thickBot="1">
      <c r="A21" s="502" t="str">
        <f>Platzierung!T29</f>
        <v>Team 9</v>
      </c>
      <c r="B21" s="503"/>
      <c r="C21" s="504"/>
      <c r="D21" s="139"/>
      <c r="E21" s="140"/>
      <c r="F21" s="141"/>
      <c r="G21" s="141"/>
      <c r="H21" s="142"/>
      <c r="I21" s="140"/>
      <c r="J21" s="142"/>
      <c r="K21" s="143"/>
    </row>
    <row r="22" spans="1:11" ht="15">
      <c r="A22" s="508"/>
      <c r="B22" s="509"/>
      <c r="C22" s="509"/>
      <c r="D22" s="509"/>
      <c r="E22" s="509"/>
      <c r="F22" s="509"/>
      <c r="G22" s="509"/>
      <c r="H22" s="509"/>
      <c r="I22" s="509"/>
      <c r="J22" s="509"/>
      <c r="K22" s="510"/>
    </row>
    <row r="23" spans="1:11" s="108" customFormat="1" ht="15">
      <c r="A23" s="495" t="s">
        <v>63</v>
      </c>
      <c r="B23" s="496"/>
      <c r="C23" s="496"/>
      <c r="D23" s="496"/>
      <c r="E23" s="75"/>
      <c r="F23" s="75"/>
      <c r="G23" s="75"/>
      <c r="H23" s="75"/>
      <c r="I23" s="75"/>
      <c r="J23" s="75"/>
      <c r="K23" s="76"/>
    </row>
    <row r="24" spans="1:11" s="108" customFormat="1" ht="15">
      <c r="A24" s="74"/>
      <c r="B24" s="109" t="s">
        <v>57</v>
      </c>
      <c r="C24" s="496" t="s">
        <v>69</v>
      </c>
      <c r="D24" s="496"/>
      <c r="E24" s="496"/>
      <c r="F24" s="496"/>
      <c r="G24" s="496"/>
      <c r="H24" s="521"/>
      <c r="I24" s="521"/>
      <c r="J24" s="521"/>
      <c r="K24" s="522"/>
    </row>
    <row r="25" spans="1:11" s="108" customFormat="1" ht="15">
      <c r="A25" s="74"/>
      <c r="B25" s="109" t="s">
        <v>57</v>
      </c>
      <c r="C25" s="496" t="s">
        <v>70</v>
      </c>
      <c r="D25" s="496"/>
      <c r="E25" s="496"/>
      <c r="F25" s="496"/>
      <c r="G25" s="496"/>
      <c r="H25" s="496"/>
      <c r="I25" s="496"/>
      <c r="J25" s="496"/>
      <c r="K25" s="497"/>
    </row>
    <row r="26" spans="1:11" s="108" customFormat="1" ht="15">
      <c r="A26" s="74"/>
      <c r="B26" s="109" t="s">
        <v>57</v>
      </c>
      <c r="C26" s="496" t="s">
        <v>58</v>
      </c>
      <c r="D26" s="496"/>
      <c r="E26" s="496"/>
      <c r="F26" s="496"/>
      <c r="G26" s="496"/>
      <c r="H26" s="496"/>
      <c r="I26" s="496"/>
      <c r="J26" s="496"/>
      <c r="K26" s="497"/>
    </row>
    <row r="27" spans="1:11" s="108" customFormat="1" ht="15">
      <c r="A27" s="495" t="s">
        <v>64</v>
      </c>
      <c r="B27" s="496"/>
      <c r="C27" s="496"/>
      <c r="D27" s="496"/>
      <c r="E27" s="75"/>
      <c r="F27" s="75"/>
      <c r="G27" s="75"/>
      <c r="H27" s="75"/>
      <c r="I27" s="75"/>
      <c r="J27" s="75"/>
      <c r="K27" s="76"/>
    </row>
    <row r="28" spans="1:11" s="113" customFormat="1" ht="15">
      <c r="A28" s="110" t="s">
        <v>66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s="113" customFormat="1" ht="15">
      <c r="A29" s="110" t="s">
        <v>65</v>
      </c>
      <c r="B29" s="111"/>
      <c r="C29" s="111"/>
      <c r="D29" s="114"/>
      <c r="E29" s="114"/>
      <c r="F29" s="114"/>
      <c r="G29" s="114"/>
      <c r="H29" s="114"/>
      <c r="I29" s="114"/>
      <c r="J29" s="114"/>
      <c r="K29" s="115"/>
    </row>
    <row r="30" spans="1:11" s="108" customFormat="1" ht="15">
      <c r="A30" s="518" t="s">
        <v>59</v>
      </c>
      <c r="B30" s="519"/>
      <c r="C30" s="519"/>
      <c r="D30" s="519"/>
      <c r="E30" s="519"/>
      <c r="F30" s="519"/>
      <c r="G30" s="519"/>
      <c r="H30" s="519"/>
      <c r="I30" s="519"/>
      <c r="J30" s="519"/>
      <c r="K30" s="520"/>
    </row>
    <row r="31" spans="1:11" s="108" customFormat="1" ht="15">
      <c r="A31" s="495" t="s">
        <v>62</v>
      </c>
      <c r="B31" s="496"/>
      <c r="C31" s="496"/>
      <c r="D31" s="496"/>
      <c r="E31" s="117"/>
      <c r="F31" s="117"/>
      <c r="G31" s="117"/>
      <c r="H31" s="117"/>
      <c r="I31" s="117"/>
      <c r="J31" s="117"/>
      <c r="K31" s="118"/>
    </row>
    <row r="32" spans="1:11" s="108" customFormat="1" ht="19.5" customHeight="1">
      <c r="A32" s="116"/>
      <c r="B32" s="500" t="s">
        <v>60</v>
      </c>
      <c r="C32" s="501"/>
      <c r="D32" s="501"/>
      <c r="E32" s="501"/>
      <c r="F32" s="501"/>
      <c r="G32" s="501"/>
      <c r="H32" s="501"/>
      <c r="I32" s="501"/>
      <c r="J32" s="501"/>
      <c r="K32" s="118"/>
    </row>
    <row r="33" spans="1:11" s="108" customFormat="1" ht="19.5" customHeight="1">
      <c r="A33" s="116"/>
      <c r="B33" s="500" t="s">
        <v>60</v>
      </c>
      <c r="C33" s="501"/>
      <c r="D33" s="501"/>
      <c r="E33" s="501"/>
      <c r="F33" s="501"/>
      <c r="G33" s="501"/>
      <c r="H33" s="501"/>
      <c r="I33" s="501"/>
      <c r="J33" s="501"/>
      <c r="K33" s="118"/>
    </row>
    <row r="34" spans="1:11" s="108" customFormat="1" ht="19.5" customHeight="1">
      <c r="A34" s="116"/>
      <c r="B34" s="500" t="s">
        <v>60</v>
      </c>
      <c r="C34" s="501"/>
      <c r="D34" s="501"/>
      <c r="E34" s="501"/>
      <c r="F34" s="501"/>
      <c r="G34" s="501"/>
      <c r="H34" s="501"/>
      <c r="I34" s="501"/>
      <c r="J34" s="501"/>
      <c r="K34" s="118"/>
    </row>
    <row r="35" spans="1:11" s="108" customFormat="1" ht="19.5" customHeight="1">
      <c r="A35" s="116"/>
      <c r="B35" s="500" t="s">
        <v>60</v>
      </c>
      <c r="C35" s="501"/>
      <c r="D35" s="501"/>
      <c r="E35" s="501"/>
      <c r="F35" s="501"/>
      <c r="G35" s="501"/>
      <c r="H35" s="501"/>
      <c r="I35" s="501"/>
      <c r="J35" s="501"/>
      <c r="K35" s="118"/>
    </row>
    <row r="36" spans="1:11" ht="15.75" thickBot="1">
      <c r="A36" s="490"/>
      <c r="B36" s="491"/>
      <c r="C36" s="491"/>
      <c r="D36" s="119"/>
      <c r="E36" s="119"/>
      <c r="F36" s="119"/>
      <c r="G36" s="119"/>
      <c r="H36" s="119"/>
      <c r="I36" s="119"/>
      <c r="J36" s="119"/>
      <c r="K36" s="120"/>
    </row>
  </sheetData>
  <sheetProtection sheet="1" selectLockedCells="1"/>
  <mergeCells count="31">
    <mergeCell ref="D3:J3"/>
    <mergeCell ref="D1:J1"/>
    <mergeCell ref="E8:H8"/>
    <mergeCell ref="A30:K30"/>
    <mergeCell ref="C24:K24"/>
    <mergeCell ref="A12:C12"/>
    <mergeCell ref="A17:C17"/>
    <mergeCell ref="A18:C18"/>
    <mergeCell ref="B33:J33"/>
    <mergeCell ref="I8:J8"/>
    <mergeCell ref="A14:C14"/>
    <mergeCell ref="B34:J34"/>
    <mergeCell ref="A16:C16"/>
    <mergeCell ref="A21:C21"/>
    <mergeCell ref="A13:C13"/>
    <mergeCell ref="B32:J32"/>
    <mergeCell ref="A22:K22"/>
    <mergeCell ref="A7:J7"/>
    <mergeCell ref="A19:C19"/>
    <mergeCell ref="A15:C15"/>
    <mergeCell ref="A31:D31"/>
    <mergeCell ref="D2:J2"/>
    <mergeCell ref="A36:C36"/>
    <mergeCell ref="E9:H9"/>
    <mergeCell ref="A27:D27"/>
    <mergeCell ref="A23:D23"/>
    <mergeCell ref="C25:K25"/>
    <mergeCell ref="C26:K26"/>
    <mergeCell ref="A4:K4"/>
    <mergeCell ref="B35:J35"/>
    <mergeCell ref="A20:C20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L6" sqref="AL6"/>
    </sheetView>
  </sheetViews>
  <sheetFormatPr baseColWidth="10" defaultColWidth="3.42578125" defaultRowHeight="12.75"/>
  <cols>
    <col min="1" max="3" width="3.140625" style="343" customWidth="1"/>
    <col min="4" max="4" width="4" style="341" hidden="1" customWidth="1"/>
    <col min="5" max="20" width="3" style="343" customWidth="1"/>
    <col min="21" max="21" width="3.28515625" style="341" hidden="1" customWidth="1"/>
    <col min="22" max="34" width="3" style="343" customWidth="1"/>
    <col min="35" max="36" width="3.42578125" style="294"/>
    <col min="37" max="37" width="3.140625" style="294" customWidth="1"/>
    <col min="38" max="38" width="4" style="294" bestFit="1" customWidth="1"/>
    <col min="39" max="42" width="3.42578125" style="295" hidden="1" customWidth="1"/>
    <col min="43" max="44" width="0" style="295" hidden="1" customWidth="1"/>
    <col min="45" max="45" width="3.42578125" style="295"/>
    <col min="46" max="57" width="3.42578125" style="294"/>
    <col min="58" max="58" width="8.7109375" style="294" bestFit="1" customWidth="1"/>
    <col min="59" max="16384" width="3.42578125" style="294"/>
  </cols>
  <sheetData>
    <row r="1" spans="1:45" s="154" customFormat="1" ht="33.950000000000003" customHeight="1" thickTop="1">
      <c r="A1" s="607" t="s">
        <v>85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9"/>
      <c r="AD1" s="152"/>
      <c r="AE1" s="152"/>
      <c r="AF1" s="152"/>
      <c r="AG1" s="152"/>
      <c r="AH1" s="153"/>
      <c r="AM1" s="155"/>
      <c r="AN1" s="155"/>
      <c r="AO1" s="155"/>
      <c r="AP1" s="155"/>
      <c r="AQ1" s="155"/>
      <c r="AR1" s="155"/>
      <c r="AS1" s="155"/>
    </row>
    <row r="2" spans="1:45" s="154" customFormat="1" ht="17.25" customHeight="1" thickBot="1">
      <c r="A2" s="610" t="s">
        <v>86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2"/>
      <c r="AD2" s="156"/>
      <c r="AE2" s="156"/>
      <c r="AF2" s="156"/>
      <c r="AG2" s="156"/>
      <c r="AH2" s="157"/>
      <c r="AM2" s="155"/>
      <c r="AN2" s="155"/>
      <c r="AO2" s="155"/>
      <c r="AP2" s="155"/>
      <c r="AQ2" s="155"/>
      <c r="AR2" s="155"/>
      <c r="AS2" s="155"/>
    </row>
    <row r="3" spans="1:45" s="163" customFormat="1" ht="29.25" customHeight="1" thickTop="1" thickBot="1">
      <c r="A3" s="158" t="s">
        <v>87</v>
      </c>
      <c r="B3" s="159"/>
      <c r="C3" s="159"/>
      <c r="D3" s="159"/>
      <c r="E3" s="159"/>
      <c r="F3" s="160"/>
      <c r="G3" s="613">
        <f>Platzierung!U6</f>
        <v>0</v>
      </c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5"/>
      <c r="AD3" s="161"/>
      <c r="AE3" s="161"/>
      <c r="AF3" s="161"/>
      <c r="AG3" s="161"/>
      <c r="AH3" s="162"/>
      <c r="AM3" s="595" t="s">
        <v>88</v>
      </c>
      <c r="AN3" s="595" t="s">
        <v>88</v>
      </c>
      <c r="AO3" s="595" t="s">
        <v>88</v>
      </c>
      <c r="AP3" s="595" t="s">
        <v>88</v>
      </c>
      <c r="AQ3" s="164"/>
      <c r="AR3" s="164"/>
      <c r="AS3" s="164"/>
    </row>
    <row r="4" spans="1:45" s="163" customFormat="1" ht="22.5" customHeight="1" thickTop="1" thickBot="1">
      <c r="A4" s="165" t="s">
        <v>89</v>
      </c>
      <c r="B4" s="166"/>
      <c r="C4" s="166"/>
      <c r="D4" s="166"/>
      <c r="E4" s="166"/>
      <c r="F4" s="167"/>
      <c r="G4" s="597">
        <f>Platzierung!U4</f>
        <v>0</v>
      </c>
      <c r="H4" s="598"/>
      <c r="I4" s="598"/>
      <c r="J4" s="598"/>
      <c r="K4" s="598"/>
      <c r="L4" s="598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599"/>
      <c r="AC4" s="600"/>
      <c r="AD4" s="161"/>
      <c r="AE4" s="161"/>
      <c r="AF4" s="161"/>
      <c r="AG4" s="161"/>
      <c r="AH4" s="162"/>
      <c r="AM4" s="596"/>
      <c r="AN4" s="596"/>
      <c r="AO4" s="596"/>
      <c r="AP4" s="596"/>
      <c r="AQ4" s="164"/>
      <c r="AR4" s="164"/>
      <c r="AS4" s="164"/>
    </row>
    <row r="5" spans="1:45" s="154" customFormat="1" ht="18" customHeight="1" thickTop="1" thickBot="1">
      <c r="A5" s="168" t="s">
        <v>90</v>
      </c>
      <c r="B5" s="169"/>
      <c r="C5" s="169"/>
      <c r="D5" s="170"/>
      <c r="E5" s="171"/>
      <c r="F5" s="601" t="str">
        <f>IF(VLOOKUP(AL6,Plan,AM5,FALSE)="","",(VLOOKUP(AL6,Plan,AM5,FALSE)))</f>
        <v/>
      </c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172" t="s">
        <v>91</v>
      </c>
      <c r="S5" s="172"/>
      <c r="T5" s="172"/>
      <c r="U5" s="173"/>
      <c r="V5" s="172"/>
      <c r="W5" s="602" t="str">
        <f>IF(VLOOKUP(AL5,Plan,AO5,FALSE)="","",(VLOOKUP(AL5,Plan,AO5,FALSE)))</f>
        <v>Ort</v>
      </c>
      <c r="X5" s="603"/>
      <c r="Y5" s="603"/>
      <c r="Z5" s="603"/>
      <c r="AA5" s="603"/>
      <c r="AB5" s="603"/>
      <c r="AC5" s="604"/>
      <c r="AD5" s="174"/>
      <c r="AE5" s="174"/>
      <c r="AF5" s="174"/>
      <c r="AG5" s="174"/>
      <c r="AH5" s="175"/>
      <c r="AL5" s="176">
        <v>45</v>
      </c>
      <c r="AM5" s="177">
        <v>35</v>
      </c>
      <c r="AN5" s="178">
        <v>28</v>
      </c>
      <c r="AO5" s="178">
        <v>36</v>
      </c>
      <c r="AP5" s="178"/>
      <c r="AQ5" s="179" t="s">
        <v>92</v>
      </c>
      <c r="AR5" s="155"/>
      <c r="AS5" s="155"/>
    </row>
    <row r="6" spans="1:45" s="154" customFormat="1" ht="18" customHeight="1" thickTop="1">
      <c r="A6" s="180" t="s">
        <v>5</v>
      </c>
      <c r="B6" s="181"/>
      <c r="C6" s="181"/>
      <c r="D6" s="182"/>
      <c r="E6" s="183"/>
      <c r="F6" s="587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184" t="s">
        <v>93</v>
      </c>
      <c r="S6" s="184"/>
      <c r="T6" s="184"/>
      <c r="U6" s="185"/>
      <c r="V6" s="184"/>
      <c r="W6" s="605" t="str">
        <f>IF(VLOOKUP(AL6,Plan,AN6,FALSE)="","",(VLOOKUP(AL6,Plan,AN6,FALSE)))</f>
        <v>Datum</v>
      </c>
      <c r="X6" s="606"/>
      <c r="Y6" s="606"/>
      <c r="Z6" s="606"/>
      <c r="AA6" s="606"/>
      <c r="AB6" s="186"/>
      <c r="AC6" s="186"/>
      <c r="AD6" s="187"/>
      <c r="AE6" s="187"/>
      <c r="AF6" s="188"/>
      <c r="AG6" s="188"/>
      <c r="AH6" s="189"/>
      <c r="AL6" s="190">
        <f t="shared" ref="AL6:AL11" si="0">AL5</f>
        <v>45</v>
      </c>
      <c r="AM6" s="191">
        <v>13</v>
      </c>
      <c r="AN6" s="191">
        <v>2</v>
      </c>
      <c r="AO6" s="178"/>
      <c r="AP6" s="178"/>
      <c r="AQ6" s="155"/>
      <c r="AR6" s="155"/>
      <c r="AS6" s="155"/>
    </row>
    <row r="7" spans="1:45" s="154" customFormat="1" ht="18" customHeight="1">
      <c r="A7" s="180" t="s">
        <v>94</v>
      </c>
      <c r="B7" s="181"/>
      <c r="C7" s="181"/>
      <c r="D7" s="182"/>
      <c r="E7" s="183"/>
      <c r="F7" s="587" t="str">
        <f>IF(VLOOKUP(AL6,Plan,AM6,FALSE)="","",(VLOOKUP(AL6,Plan,AM6,FALSE)))</f>
        <v>8. Platz Vorrunde</v>
      </c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192" t="s">
        <v>95</v>
      </c>
      <c r="S7" s="192"/>
      <c r="T7" s="192"/>
      <c r="U7" s="193"/>
      <c r="V7" s="194"/>
      <c r="W7" s="589" t="str">
        <f>IF(VLOOKUP(AL7,Plan,AN7,FALSE)="","",(VLOOKUP(AL7,Plan,AN7,FALSE)))</f>
        <v>anschl.</v>
      </c>
      <c r="X7" s="590"/>
      <c r="Y7" s="590"/>
      <c r="Z7" s="590"/>
      <c r="AA7" s="195" t="s">
        <v>96</v>
      </c>
      <c r="AB7" s="196"/>
      <c r="AC7" s="197"/>
      <c r="AD7" s="591"/>
      <c r="AE7" s="591"/>
      <c r="AF7" s="591"/>
      <c r="AG7" s="591"/>
      <c r="AH7" s="592"/>
      <c r="AL7" s="190">
        <f t="shared" si="0"/>
        <v>45</v>
      </c>
      <c r="AM7" s="191"/>
      <c r="AN7" s="191">
        <v>3</v>
      </c>
      <c r="AO7" s="178"/>
      <c r="AP7" s="178"/>
      <c r="AQ7" s="155"/>
      <c r="AR7" s="155"/>
      <c r="AS7" s="155"/>
    </row>
    <row r="8" spans="1:45" s="154" customFormat="1" ht="18" customHeight="1">
      <c r="A8" s="180" t="s">
        <v>97</v>
      </c>
      <c r="B8" s="181"/>
      <c r="C8" s="181"/>
      <c r="D8" s="182"/>
      <c r="E8" s="183"/>
      <c r="F8" s="587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192" t="s">
        <v>98</v>
      </c>
      <c r="S8" s="192"/>
      <c r="T8" s="192"/>
      <c r="U8" s="193"/>
      <c r="V8" s="194"/>
      <c r="W8" s="593">
        <f>IF(VLOOKUP(AL8,Plan,AN8,FALSE)="","",(VLOOKUP(AL8,Plan,AN8,FALSE)))</f>
        <v>9</v>
      </c>
      <c r="X8" s="594"/>
      <c r="Y8" s="198"/>
      <c r="Z8" s="198"/>
      <c r="AA8" s="198"/>
      <c r="AB8" s="199" t="s">
        <v>99</v>
      </c>
      <c r="AC8" s="196"/>
      <c r="AD8" s="594">
        <f>IF(VLOOKUP(AL8,Plan,AO8,FALSE)="","",(VLOOKUP(AL8,Plan,AO8,FALSE)))</f>
        <v>1</v>
      </c>
      <c r="AE8" s="594"/>
      <c r="AF8" s="198"/>
      <c r="AG8" s="198"/>
      <c r="AH8" s="200"/>
      <c r="AL8" s="190">
        <f t="shared" si="0"/>
        <v>45</v>
      </c>
      <c r="AM8" s="191"/>
      <c r="AN8" s="191">
        <v>4</v>
      </c>
      <c r="AO8" s="178">
        <v>5</v>
      </c>
      <c r="AP8" s="178"/>
      <c r="AQ8" s="155"/>
      <c r="AR8" s="155"/>
      <c r="AS8" s="155"/>
    </row>
    <row r="9" spans="1:45" s="154" customFormat="1" ht="18" customHeight="1" thickBot="1">
      <c r="A9" s="201" t="s">
        <v>100</v>
      </c>
      <c r="B9" s="202"/>
      <c r="C9" s="202"/>
      <c r="D9" s="203"/>
      <c r="E9" s="204"/>
      <c r="F9" s="576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8"/>
      <c r="R9" s="184" t="s">
        <v>101</v>
      </c>
      <c r="S9" s="205"/>
      <c r="T9" s="205"/>
      <c r="U9" s="206"/>
      <c r="V9" s="207"/>
      <c r="W9" s="579">
        <f>IF(VLOOKUP(AL9,Plan,AN9,FALSE)="","",(VLOOKUP(AL9,Plan,AN9,FALSE)))</f>
        <v>45</v>
      </c>
      <c r="X9" s="580"/>
      <c r="Y9" s="208"/>
      <c r="Z9" s="208"/>
      <c r="AA9" s="208"/>
      <c r="AB9" s="208"/>
      <c r="AC9" s="208"/>
      <c r="AD9" s="208"/>
      <c r="AE9" s="208"/>
      <c r="AF9" s="208"/>
      <c r="AG9" s="208"/>
      <c r="AH9" s="209"/>
      <c r="AL9" s="190">
        <f t="shared" si="0"/>
        <v>45</v>
      </c>
      <c r="AM9" s="191"/>
      <c r="AN9" s="191">
        <v>6</v>
      </c>
      <c r="AO9" s="178"/>
      <c r="AP9" s="178"/>
      <c r="AQ9" s="155"/>
      <c r="AR9" s="155"/>
      <c r="AS9" s="155"/>
    </row>
    <row r="10" spans="1:45" s="154" customFormat="1" ht="21.95" customHeight="1" thickTop="1" thickBot="1">
      <c r="A10" s="581" t="s">
        <v>102</v>
      </c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210" t="s">
        <v>103</v>
      </c>
      <c r="P10" s="211" t="s">
        <v>104</v>
      </c>
      <c r="Q10" s="212" t="s">
        <v>105</v>
      </c>
      <c r="R10" s="581" t="s">
        <v>106</v>
      </c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3"/>
      <c r="AF10" s="210" t="s">
        <v>103</v>
      </c>
      <c r="AG10" s="211" t="s">
        <v>104</v>
      </c>
      <c r="AH10" s="212" t="s">
        <v>105</v>
      </c>
      <c r="AL10" s="190">
        <f t="shared" si="0"/>
        <v>45</v>
      </c>
      <c r="AM10" s="191"/>
      <c r="AN10" s="191"/>
      <c r="AO10" s="178"/>
      <c r="AP10" s="178"/>
      <c r="AQ10" s="155"/>
      <c r="AR10" s="155"/>
      <c r="AS10" s="155"/>
    </row>
    <row r="11" spans="1:45" s="154" customFormat="1" ht="18.95" customHeight="1" thickBot="1">
      <c r="A11" s="584" t="str">
        <f>IF(VLOOKUP(AL11,Plan,AM11,FALSE)="","",(VLOOKUP(AL11,Plan,AM11,FALSE)))</f>
        <v>7. Platz Vorrunde</v>
      </c>
      <c r="B11" s="585"/>
      <c r="C11" s="585"/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213"/>
      <c r="P11" s="214"/>
      <c r="Q11" s="215"/>
      <c r="R11" s="584" t="str">
        <f>IF(VLOOKUP(AL11,Plan,AN11,FALSE)="","",(VLOOKUP(AL11,Plan,AN11,FALSE)))</f>
        <v>9. Platz Vorrunde</v>
      </c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585"/>
      <c r="AE11" s="586"/>
      <c r="AF11" s="213"/>
      <c r="AG11" s="214"/>
      <c r="AH11" s="215"/>
      <c r="AL11" s="190">
        <f t="shared" si="0"/>
        <v>45</v>
      </c>
      <c r="AM11" s="191">
        <v>7</v>
      </c>
      <c r="AN11" s="191">
        <v>11</v>
      </c>
      <c r="AO11" s="178"/>
      <c r="AP11" s="178"/>
      <c r="AQ11" s="155"/>
      <c r="AR11" s="155"/>
      <c r="AS11" s="155"/>
    </row>
    <row r="12" spans="1:45" s="154" customFormat="1" ht="18" customHeight="1" thickTop="1" thickBot="1">
      <c r="A12" s="216" t="s">
        <v>107</v>
      </c>
      <c r="B12" s="217" t="s">
        <v>108</v>
      </c>
      <c r="C12" s="218" t="s">
        <v>109</v>
      </c>
      <c r="D12" s="219"/>
      <c r="E12" s="220" t="s">
        <v>110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223"/>
      <c r="Q12" s="224"/>
      <c r="R12" s="216" t="s">
        <v>107</v>
      </c>
      <c r="S12" s="217" t="s">
        <v>108</v>
      </c>
      <c r="T12" s="218" t="s">
        <v>109</v>
      </c>
      <c r="U12" s="219"/>
      <c r="V12" s="220" t="s">
        <v>110</v>
      </c>
      <c r="W12" s="221"/>
      <c r="X12" s="221"/>
      <c r="Y12" s="221"/>
      <c r="Z12" s="221"/>
      <c r="AA12" s="221"/>
      <c r="AB12" s="221"/>
      <c r="AC12" s="221"/>
      <c r="AD12" s="221"/>
      <c r="AE12" s="221"/>
      <c r="AF12" s="222"/>
      <c r="AG12" s="223"/>
      <c r="AH12" s="224"/>
      <c r="AM12" s="155"/>
      <c r="AN12" s="155"/>
      <c r="AO12" s="155"/>
      <c r="AP12" s="155"/>
      <c r="AQ12" s="155"/>
      <c r="AR12" s="155"/>
      <c r="AS12" s="155"/>
    </row>
    <row r="13" spans="1:45" s="234" customFormat="1" ht="18" hidden="1" customHeight="1">
      <c r="A13" s="225"/>
      <c r="B13" s="226"/>
      <c r="C13" s="227"/>
      <c r="D13" s="228"/>
      <c r="E13" s="229" t="e">
        <f>HLOOKUP(A11,[1]Mannschaften!B10:AF12,3,FALSE)</f>
        <v>#N/A</v>
      </c>
      <c r="F13" s="230"/>
      <c r="G13" s="230"/>
      <c r="H13" s="230"/>
      <c r="I13" s="230"/>
      <c r="J13" s="230"/>
      <c r="K13" s="230"/>
      <c r="L13" s="230"/>
      <c r="M13" s="230"/>
      <c r="N13" s="230"/>
      <c r="O13" s="231"/>
      <c r="P13" s="232"/>
      <c r="Q13" s="233"/>
      <c r="R13" s="225"/>
      <c r="S13" s="226"/>
      <c r="T13" s="227"/>
      <c r="U13" s="228"/>
      <c r="V13" s="229" t="e">
        <f>HLOOKUP(R11,[1]Mannschaften!B10:AF13,3,FALSE)</f>
        <v>#N/A</v>
      </c>
      <c r="W13" s="230"/>
      <c r="X13" s="230"/>
      <c r="Y13" s="230"/>
      <c r="Z13" s="230"/>
      <c r="AA13" s="230"/>
      <c r="AB13" s="230"/>
      <c r="AC13" s="230"/>
      <c r="AD13" s="230"/>
      <c r="AE13" s="230"/>
      <c r="AF13" s="231"/>
      <c r="AG13" s="232"/>
      <c r="AH13" s="233"/>
      <c r="AM13" s="235"/>
      <c r="AN13" s="235"/>
      <c r="AO13" s="235"/>
      <c r="AP13" s="235"/>
      <c r="AQ13" s="235"/>
      <c r="AR13" s="235"/>
      <c r="AS13" s="235"/>
    </row>
    <row r="14" spans="1:45" s="154" customFormat="1" ht="18" customHeight="1" thickTop="1">
      <c r="A14" s="236"/>
      <c r="B14" s="237"/>
      <c r="C14" s="238"/>
      <c r="D14" s="239"/>
      <c r="E14" s="567"/>
      <c r="F14" s="568"/>
      <c r="G14" s="568"/>
      <c r="H14" s="568"/>
      <c r="I14" s="568"/>
      <c r="J14" s="568"/>
      <c r="K14" s="568"/>
      <c r="L14" s="568"/>
      <c r="M14" s="568"/>
      <c r="N14" s="569"/>
      <c r="O14" s="240"/>
      <c r="P14" s="241"/>
      <c r="Q14" s="242"/>
      <c r="R14" s="236"/>
      <c r="S14" s="243"/>
      <c r="T14" s="238"/>
      <c r="U14" s="239"/>
      <c r="V14" s="567"/>
      <c r="W14" s="568"/>
      <c r="X14" s="568"/>
      <c r="Y14" s="568"/>
      <c r="Z14" s="568"/>
      <c r="AA14" s="568"/>
      <c r="AB14" s="568"/>
      <c r="AC14" s="568"/>
      <c r="AD14" s="568"/>
      <c r="AE14" s="569"/>
      <c r="AF14" s="240"/>
      <c r="AG14" s="241"/>
      <c r="AH14" s="242"/>
      <c r="AM14" s="155"/>
      <c r="AN14" s="155"/>
      <c r="AO14" s="155"/>
      <c r="AP14" s="155"/>
      <c r="AQ14" s="155"/>
      <c r="AR14" s="155"/>
      <c r="AS14" s="155"/>
    </row>
    <row r="15" spans="1:45" s="154" customFormat="1" ht="18" customHeight="1">
      <c r="A15" s="244"/>
      <c r="B15" s="237"/>
      <c r="C15" s="245"/>
      <c r="D15" s="193"/>
      <c r="E15" s="573"/>
      <c r="F15" s="574"/>
      <c r="G15" s="574"/>
      <c r="H15" s="574"/>
      <c r="I15" s="574"/>
      <c r="J15" s="574"/>
      <c r="K15" s="574"/>
      <c r="L15" s="574"/>
      <c r="M15" s="574"/>
      <c r="N15" s="575"/>
      <c r="O15" s="246"/>
      <c r="P15" s="247"/>
      <c r="Q15" s="248"/>
      <c r="R15" s="244"/>
      <c r="S15" s="237"/>
      <c r="T15" s="245"/>
      <c r="U15" s="193"/>
      <c r="V15" s="573"/>
      <c r="W15" s="574"/>
      <c r="X15" s="574"/>
      <c r="Y15" s="574"/>
      <c r="Z15" s="574"/>
      <c r="AA15" s="574"/>
      <c r="AB15" s="574"/>
      <c r="AC15" s="574"/>
      <c r="AD15" s="574"/>
      <c r="AE15" s="575"/>
      <c r="AF15" s="246"/>
      <c r="AG15" s="247"/>
      <c r="AH15" s="248"/>
      <c r="AM15" s="155"/>
      <c r="AN15" s="155"/>
      <c r="AO15" s="155"/>
      <c r="AP15" s="155"/>
      <c r="AQ15" s="155"/>
      <c r="AR15" s="155"/>
      <c r="AS15" s="155"/>
    </row>
    <row r="16" spans="1:45" s="154" customFormat="1" ht="18" customHeight="1">
      <c r="A16" s="244"/>
      <c r="B16" s="237"/>
      <c r="C16" s="249"/>
      <c r="D16" s="193"/>
      <c r="E16" s="573"/>
      <c r="F16" s="574"/>
      <c r="G16" s="574"/>
      <c r="H16" s="574"/>
      <c r="I16" s="574"/>
      <c r="J16" s="574"/>
      <c r="K16" s="574"/>
      <c r="L16" s="574"/>
      <c r="M16" s="574"/>
      <c r="N16" s="575"/>
      <c r="O16" s="246"/>
      <c r="P16" s="250"/>
      <c r="Q16" s="248"/>
      <c r="R16" s="244"/>
      <c r="S16" s="237"/>
      <c r="T16" s="249"/>
      <c r="U16" s="193"/>
      <c r="V16" s="573"/>
      <c r="W16" s="574"/>
      <c r="X16" s="574"/>
      <c r="Y16" s="574"/>
      <c r="Z16" s="574"/>
      <c r="AA16" s="574"/>
      <c r="AB16" s="574"/>
      <c r="AC16" s="574"/>
      <c r="AD16" s="574"/>
      <c r="AE16" s="575"/>
      <c r="AF16" s="246"/>
      <c r="AG16" s="250"/>
      <c r="AH16" s="248"/>
      <c r="AM16" s="155"/>
      <c r="AN16" s="155"/>
      <c r="AO16" s="155"/>
      <c r="AP16" s="155"/>
      <c r="AQ16" s="155"/>
      <c r="AR16" s="155"/>
      <c r="AS16" s="155"/>
    </row>
    <row r="17" spans="1:45" s="154" customFormat="1" ht="18" customHeight="1">
      <c r="A17" s="244"/>
      <c r="B17" s="237"/>
      <c r="C17" s="251"/>
      <c r="D17" s="193"/>
      <c r="E17" s="573"/>
      <c r="F17" s="574"/>
      <c r="G17" s="574"/>
      <c r="H17" s="574"/>
      <c r="I17" s="574"/>
      <c r="J17" s="574"/>
      <c r="K17" s="574"/>
      <c r="L17" s="574"/>
      <c r="M17" s="574"/>
      <c r="N17" s="575"/>
      <c r="O17" s="246"/>
      <c r="P17" s="250"/>
      <c r="Q17" s="248"/>
      <c r="R17" s="244"/>
      <c r="S17" s="237"/>
      <c r="T17" s="251"/>
      <c r="U17" s="193"/>
      <c r="V17" s="573"/>
      <c r="W17" s="574"/>
      <c r="X17" s="574"/>
      <c r="Y17" s="574"/>
      <c r="Z17" s="574"/>
      <c r="AA17" s="574"/>
      <c r="AB17" s="574"/>
      <c r="AC17" s="574"/>
      <c r="AD17" s="574"/>
      <c r="AE17" s="575"/>
      <c r="AF17" s="246"/>
      <c r="AG17" s="250"/>
      <c r="AH17" s="248"/>
      <c r="AM17" s="155"/>
      <c r="AN17" s="155"/>
      <c r="AO17" s="155"/>
      <c r="AP17" s="155"/>
      <c r="AQ17" s="155"/>
      <c r="AR17" s="155"/>
      <c r="AS17" s="155"/>
    </row>
    <row r="18" spans="1:45" s="154" customFormat="1" ht="18" customHeight="1">
      <c r="A18" s="244"/>
      <c r="B18" s="237"/>
      <c r="C18" s="252"/>
      <c r="D18" s="193"/>
      <c r="E18" s="573"/>
      <c r="F18" s="574"/>
      <c r="G18" s="574"/>
      <c r="H18" s="574"/>
      <c r="I18" s="574"/>
      <c r="J18" s="574"/>
      <c r="K18" s="574"/>
      <c r="L18" s="574"/>
      <c r="M18" s="574"/>
      <c r="N18" s="575"/>
      <c r="O18" s="246"/>
      <c r="P18" s="253"/>
      <c r="Q18" s="248"/>
      <c r="R18" s="244"/>
      <c r="S18" s="237"/>
      <c r="T18" s="252"/>
      <c r="U18" s="193"/>
      <c r="V18" s="573"/>
      <c r="W18" s="574"/>
      <c r="X18" s="574"/>
      <c r="Y18" s="574"/>
      <c r="Z18" s="574"/>
      <c r="AA18" s="574"/>
      <c r="AB18" s="574"/>
      <c r="AC18" s="574"/>
      <c r="AD18" s="574"/>
      <c r="AE18" s="575"/>
      <c r="AF18" s="246"/>
      <c r="AG18" s="253"/>
      <c r="AH18" s="248"/>
      <c r="AM18" s="155"/>
      <c r="AN18" s="155"/>
      <c r="AO18" s="155"/>
      <c r="AP18" s="155"/>
      <c r="AQ18" s="155"/>
      <c r="AR18" s="155"/>
      <c r="AS18" s="155"/>
    </row>
    <row r="19" spans="1:45" s="154" customFormat="1" ht="18" customHeight="1">
      <c r="A19" s="244"/>
      <c r="B19" s="237"/>
      <c r="C19" s="251"/>
      <c r="D19" s="193"/>
      <c r="E19" s="573"/>
      <c r="F19" s="574"/>
      <c r="G19" s="574"/>
      <c r="H19" s="574"/>
      <c r="I19" s="574"/>
      <c r="J19" s="574"/>
      <c r="K19" s="574"/>
      <c r="L19" s="574"/>
      <c r="M19" s="574"/>
      <c r="N19" s="575"/>
      <c r="O19" s="246"/>
      <c r="P19" s="250"/>
      <c r="Q19" s="248"/>
      <c r="R19" s="244"/>
      <c r="S19" s="237"/>
      <c r="T19" s="251"/>
      <c r="U19" s="193"/>
      <c r="V19" s="573"/>
      <c r="W19" s="574"/>
      <c r="X19" s="574"/>
      <c r="Y19" s="574"/>
      <c r="Z19" s="574"/>
      <c r="AA19" s="574"/>
      <c r="AB19" s="574"/>
      <c r="AC19" s="574"/>
      <c r="AD19" s="574"/>
      <c r="AE19" s="575"/>
      <c r="AF19" s="246"/>
      <c r="AG19" s="250"/>
      <c r="AH19" s="248"/>
      <c r="AM19" s="155"/>
      <c r="AN19" s="155"/>
      <c r="AO19" s="155"/>
      <c r="AP19" s="155"/>
      <c r="AQ19" s="155"/>
      <c r="AR19" s="155"/>
      <c r="AS19" s="155"/>
    </row>
    <row r="20" spans="1:45" s="154" customFormat="1" ht="18" customHeight="1">
      <c r="A20" s="244"/>
      <c r="B20" s="237"/>
      <c r="C20" s="251"/>
      <c r="D20" s="193"/>
      <c r="E20" s="573"/>
      <c r="F20" s="574"/>
      <c r="G20" s="574"/>
      <c r="H20" s="574"/>
      <c r="I20" s="574"/>
      <c r="J20" s="574"/>
      <c r="K20" s="574"/>
      <c r="L20" s="574"/>
      <c r="M20" s="574"/>
      <c r="N20" s="575"/>
      <c r="O20" s="246"/>
      <c r="P20" s="250"/>
      <c r="Q20" s="248"/>
      <c r="R20" s="244"/>
      <c r="S20" s="237"/>
      <c r="T20" s="251"/>
      <c r="U20" s="193"/>
      <c r="V20" s="573"/>
      <c r="W20" s="574"/>
      <c r="X20" s="574"/>
      <c r="Y20" s="574"/>
      <c r="Z20" s="574"/>
      <c r="AA20" s="574"/>
      <c r="AB20" s="574"/>
      <c r="AC20" s="574"/>
      <c r="AD20" s="574"/>
      <c r="AE20" s="575"/>
      <c r="AF20" s="246"/>
      <c r="AG20" s="250"/>
      <c r="AH20" s="248"/>
      <c r="AM20" s="155"/>
      <c r="AN20" s="155"/>
      <c r="AO20" s="155"/>
      <c r="AP20" s="155"/>
      <c r="AQ20" s="155"/>
      <c r="AR20" s="155"/>
      <c r="AS20" s="155"/>
    </row>
    <row r="21" spans="1:45" s="154" customFormat="1" ht="18" customHeight="1">
      <c r="A21" s="244"/>
      <c r="B21" s="237"/>
      <c r="C21" s="251"/>
      <c r="D21" s="193"/>
      <c r="E21" s="573"/>
      <c r="F21" s="574"/>
      <c r="G21" s="574"/>
      <c r="H21" s="574"/>
      <c r="I21" s="574"/>
      <c r="J21" s="574"/>
      <c r="K21" s="574"/>
      <c r="L21" s="574"/>
      <c r="M21" s="574"/>
      <c r="N21" s="575"/>
      <c r="O21" s="246"/>
      <c r="P21" s="250"/>
      <c r="Q21" s="248"/>
      <c r="R21" s="244"/>
      <c r="S21" s="237"/>
      <c r="T21" s="251"/>
      <c r="U21" s="193"/>
      <c r="V21" s="573"/>
      <c r="W21" s="574"/>
      <c r="X21" s="574"/>
      <c r="Y21" s="574"/>
      <c r="Z21" s="574"/>
      <c r="AA21" s="574"/>
      <c r="AB21" s="574"/>
      <c r="AC21" s="574"/>
      <c r="AD21" s="574"/>
      <c r="AE21" s="575"/>
      <c r="AF21" s="246"/>
      <c r="AG21" s="250"/>
      <c r="AH21" s="248"/>
      <c r="AM21" s="155"/>
      <c r="AN21" s="155"/>
      <c r="AO21" s="155"/>
      <c r="AP21" s="155"/>
      <c r="AQ21" s="155"/>
      <c r="AR21" s="155"/>
      <c r="AS21" s="155"/>
    </row>
    <row r="22" spans="1:45" s="154" customFormat="1" ht="18" customHeight="1">
      <c r="A22" s="244"/>
      <c r="B22" s="237"/>
      <c r="C22" s="251"/>
      <c r="D22" s="193"/>
      <c r="E22" s="573"/>
      <c r="F22" s="574"/>
      <c r="G22" s="574"/>
      <c r="H22" s="574"/>
      <c r="I22" s="574"/>
      <c r="J22" s="574"/>
      <c r="K22" s="574"/>
      <c r="L22" s="574"/>
      <c r="M22" s="574"/>
      <c r="N22" s="575"/>
      <c r="O22" s="246"/>
      <c r="P22" s="254"/>
      <c r="Q22" s="255"/>
      <c r="R22" s="244"/>
      <c r="S22" s="237"/>
      <c r="T22" s="251"/>
      <c r="U22" s="193"/>
      <c r="V22" s="573"/>
      <c r="W22" s="574"/>
      <c r="X22" s="574"/>
      <c r="Y22" s="574"/>
      <c r="Z22" s="574"/>
      <c r="AA22" s="574"/>
      <c r="AB22" s="574"/>
      <c r="AC22" s="574"/>
      <c r="AD22" s="574"/>
      <c r="AE22" s="575"/>
      <c r="AF22" s="246"/>
      <c r="AG22" s="254"/>
      <c r="AH22" s="255"/>
      <c r="AM22" s="155"/>
      <c r="AN22" s="155"/>
      <c r="AO22" s="155"/>
      <c r="AP22" s="155"/>
      <c r="AQ22" s="155"/>
      <c r="AR22" s="155"/>
      <c r="AS22" s="155"/>
    </row>
    <row r="23" spans="1:45" s="154" customFormat="1" ht="18" customHeight="1" thickBot="1">
      <c r="A23" s="256"/>
      <c r="B23" s="257"/>
      <c r="C23" s="258"/>
      <c r="D23" s="206"/>
      <c r="E23" s="564"/>
      <c r="F23" s="565"/>
      <c r="G23" s="565"/>
      <c r="H23" s="565"/>
      <c r="I23" s="565"/>
      <c r="J23" s="565"/>
      <c r="K23" s="565"/>
      <c r="L23" s="565"/>
      <c r="M23" s="565"/>
      <c r="N23" s="566"/>
      <c r="O23" s="259"/>
      <c r="P23" s="260"/>
      <c r="Q23" s="261"/>
      <c r="R23" s="256"/>
      <c r="S23" s="257"/>
      <c r="T23" s="258"/>
      <c r="U23" s="206"/>
      <c r="V23" s="564"/>
      <c r="W23" s="565"/>
      <c r="X23" s="565"/>
      <c r="Y23" s="565"/>
      <c r="Z23" s="565"/>
      <c r="AA23" s="565"/>
      <c r="AB23" s="565"/>
      <c r="AC23" s="565"/>
      <c r="AD23" s="565"/>
      <c r="AE23" s="566"/>
      <c r="AF23" s="259"/>
      <c r="AG23" s="260"/>
      <c r="AH23" s="261"/>
      <c r="AM23" s="155"/>
      <c r="AN23" s="155"/>
      <c r="AO23" s="155"/>
      <c r="AP23" s="155"/>
      <c r="AQ23" s="155"/>
      <c r="AR23" s="155"/>
      <c r="AS23" s="155"/>
    </row>
    <row r="24" spans="1:45" s="154" customFormat="1" ht="18" customHeight="1" thickTop="1">
      <c r="A24" s="262" t="s">
        <v>111</v>
      </c>
      <c r="B24" s="263"/>
      <c r="C24" s="264"/>
      <c r="D24" s="170">
        <f>D23+1</f>
        <v>1</v>
      </c>
      <c r="E24" s="567"/>
      <c r="F24" s="568"/>
      <c r="G24" s="568"/>
      <c r="H24" s="568"/>
      <c r="I24" s="568"/>
      <c r="J24" s="568"/>
      <c r="K24" s="568"/>
      <c r="L24" s="568"/>
      <c r="M24" s="568"/>
      <c r="N24" s="569"/>
      <c r="O24" s="240"/>
      <c r="P24" s="265"/>
      <c r="Q24" s="266"/>
      <c r="R24" s="262" t="s">
        <v>111</v>
      </c>
      <c r="S24" s="263"/>
      <c r="T24" s="264"/>
      <c r="U24" s="170">
        <f>U23+1</f>
        <v>1</v>
      </c>
      <c r="V24" s="567"/>
      <c r="W24" s="568"/>
      <c r="X24" s="568"/>
      <c r="Y24" s="568"/>
      <c r="Z24" s="568"/>
      <c r="AA24" s="568"/>
      <c r="AB24" s="568"/>
      <c r="AC24" s="568"/>
      <c r="AD24" s="568"/>
      <c r="AE24" s="569"/>
      <c r="AF24" s="240"/>
      <c r="AG24" s="265"/>
      <c r="AH24" s="266"/>
      <c r="AM24" s="155"/>
      <c r="AN24" s="155"/>
      <c r="AO24" s="155"/>
      <c r="AP24" s="155"/>
      <c r="AQ24" s="155"/>
      <c r="AR24" s="155"/>
      <c r="AS24" s="155"/>
    </row>
    <row r="25" spans="1:45" s="154" customFormat="1" ht="18" customHeight="1" thickBot="1">
      <c r="A25" s="267" t="s">
        <v>112</v>
      </c>
      <c r="B25" s="268"/>
      <c r="C25" s="269"/>
      <c r="D25" s="203">
        <f>D24+1</f>
        <v>2</v>
      </c>
      <c r="E25" s="570"/>
      <c r="F25" s="571"/>
      <c r="G25" s="571"/>
      <c r="H25" s="571"/>
      <c r="I25" s="571"/>
      <c r="J25" s="571"/>
      <c r="K25" s="571"/>
      <c r="L25" s="571"/>
      <c r="M25" s="571"/>
      <c r="N25" s="572"/>
      <c r="O25" s="270"/>
      <c r="P25" s="271"/>
      <c r="Q25" s="272"/>
      <c r="R25" s="267" t="s">
        <v>112</v>
      </c>
      <c r="S25" s="268"/>
      <c r="T25" s="269"/>
      <c r="U25" s="203">
        <f>U24+1</f>
        <v>2</v>
      </c>
      <c r="V25" s="570"/>
      <c r="W25" s="571"/>
      <c r="X25" s="571"/>
      <c r="Y25" s="571"/>
      <c r="Z25" s="571"/>
      <c r="AA25" s="571"/>
      <c r="AB25" s="571"/>
      <c r="AC25" s="571"/>
      <c r="AD25" s="571"/>
      <c r="AE25" s="572"/>
      <c r="AF25" s="270"/>
      <c r="AG25" s="271"/>
      <c r="AH25" s="272"/>
      <c r="AM25" s="155"/>
      <c r="AN25" s="155"/>
      <c r="AO25" s="155"/>
      <c r="AP25" s="155"/>
      <c r="AQ25" s="155"/>
      <c r="AR25" s="155"/>
      <c r="AS25" s="155"/>
    </row>
    <row r="26" spans="1:45" s="154" customFormat="1" ht="18" customHeight="1" thickTop="1" thickBot="1">
      <c r="A26" s="273" t="s">
        <v>113</v>
      </c>
      <c r="B26" s="274"/>
      <c r="C26" s="275"/>
      <c r="D26" s="276"/>
      <c r="E26" s="275"/>
      <c r="F26" s="275"/>
      <c r="G26" s="277"/>
      <c r="H26" s="278" t="s">
        <v>114</v>
      </c>
      <c r="I26" s="279"/>
      <c r="J26" s="278" t="s">
        <v>25</v>
      </c>
      <c r="K26" s="280"/>
      <c r="L26" s="554" t="s">
        <v>115</v>
      </c>
      <c r="M26" s="555"/>
      <c r="N26" s="555"/>
      <c r="O26" s="278" t="s">
        <v>24</v>
      </c>
      <c r="P26" s="281"/>
      <c r="Q26" s="282" t="s">
        <v>25</v>
      </c>
      <c r="R26" s="283"/>
      <c r="S26" s="556" t="s">
        <v>116</v>
      </c>
      <c r="T26" s="557"/>
      <c r="U26" s="557"/>
      <c r="V26" s="557"/>
      <c r="W26" s="557"/>
      <c r="X26" s="557"/>
      <c r="Y26" s="558"/>
      <c r="Z26" s="558"/>
      <c r="AA26" s="558"/>
      <c r="AB26" s="558"/>
      <c r="AC26" s="558"/>
      <c r="AD26" s="558"/>
      <c r="AE26" s="558"/>
      <c r="AF26" s="558"/>
      <c r="AG26" s="558"/>
      <c r="AH26" s="559"/>
      <c r="AM26" s="155"/>
      <c r="AN26" s="155"/>
      <c r="AO26" s="155"/>
      <c r="AP26" s="155"/>
      <c r="AQ26" s="155"/>
      <c r="AR26" s="155"/>
      <c r="AS26" s="155"/>
    </row>
    <row r="27" spans="1:45" ht="18" customHeight="1">
      <c r="A27" s="560" t="s">
        <v>117</v>
      </c>
      <c r="B27" s="284"/>
      <c r="C27" s="285" t="s">
        <v>24</v>
      </c>
      <c r="D27" s="286"/>
      <c r="E27" s="287"/>
      <c r="F27" s="288"/>
      <c r="G27" s="288"/>
      <c r="H27" s="288"/>
      <c r="I27" s="289"/>
      <c r="J27" s="290"/>
      <c r="K27" s="288"/>
      <c r="L27" s="288"/>
      <c r="M27" s="288"/>
      <c r="N27" s="289"/>
      <c r="O27" s="290"/>
      <c r="P27" s="288"/>
      <c r="Q27" s="288"/>
      <c r="R27" s="288"/>
      <c r="S27" s="289"/>
      <c r="T27" s="290"/>
      <c r="U27" s="291"/>
      <c r="V27" s="288"/>
      <c r="W27" s="288"/>
      <c r="X27" s="288"/>
      <c r="Y27" s="292"/>
      <c r="Z27" s="290"/>
      <c r="AA27" s="288"/>
      <c r="AB27" s="288"/>
      <c r="AC27" s="288"/>
      <c r="AD27" s="289"/>
      <c r="AE27" s="290"/>
      <c r="AF27" s="288"/>
      <c r="AG27" s="288"/>
      <c r="AH27" s="293"/>
    </row>
    <row r="28" spans="1:45" ht="18" customHeight="1" thickBot="1">
      <c r="A28" s="561"/>
      <c r="B28" s="296"/>
      <c r="C28" s="297" t="s">
        <v>25</v>
      </c>
      <c r="D28" s="298"/>
      <c r="E28" s="299"/>
      <c r="F28" s="300"/>
      <c r="G28" s="300"/>
      <c r="H28" s="300"/>
      <c r="I28" s="301"/>
      <c r="J28" s="302"/>
      <c r="K28" s="300"/>
      <c r="L28" s="300"/>
      <c r="M28" s="300"/>
      <c r="N28" s="301"/>
      <c r="O28" s="302"/>
      <c r="P28" s="300"/>
      <c r="Q28" s="300"/>
      <c r="R28" s="300"/>
      <c r="S28" s="301"/>
      <c r="T28" s="302"/>
      <c r="U28" s="303"/>
      <c r="V28" s="300"/>
      <c r="W28" s="300"/>
      <c r="X28" s="300"/>
      <c r="Y28" s="304"/>
      <c r="Z28" s="302"/>
      <c r="AA28" s="300"/>
      <c r="AB28" s="300"/>
      <c r="AC28" s="300"/>
      <c r="AD28" s="301"/>
      <c r="AE28" s="302"/>
      <c r="AF28" s="300"/>
      <c r="AG28" s="300"/>
      <c r="AH28" s="305"/>
    </row>
    <row r="29" spans="1:45" ht="18" customHeight="1">
      <c r="A29" s="560" t="s">
        <v>118</v>
      </c>
      <c r="B29" s="284"/>
      <c r="C29" s="285" t="s">
        <v>24</v>
      </c>
      <c r="D29" s="286"/>
      <c r="E29" s="287"/>
      <c r="F29" s="288"/>
      <c r="G29" s="288"/>
      <c r="H29" s="288"/>
      <c r="I29" s="289"/>
      <c r="J29" s="290"/>
      <c r="K29" s="288"/>
      <c r="L29" s="288"/>
      <c r="M29" s="288"/>
      <c r="N29" s="289"/>
      <c r="O29" s="290"/>
      <c r="P29" s="288"/>
      <c r="Q29" s="288"/>
      <c r="R29" s="288"/>
      <c r="S29" s="289"/>
      <c r="T29" s="290"/>
      <c r="U29" s="291"/>
      <c r="V29" s="288"/>
      <c r="W29" s="288"/>
      <c r="X29" s="288"/>
      <c r="Y29" s="292"/>
      <c r="Z29" s="290"/>
      <c r="AA29" s="288"/>
      <c r="AB29" s="288"/>
      <c r="AC29" s="288"/>
      <c r="AD29" s="289"/>
      <c r="AE29" s="290"/>
      <c r="AF29" s="288"/>
      <c r="AG29" s="288"/>
      <c r="AH29" s="293"/>
    </row>
    <row r="30" spans="1:45" ht="18" customHeight="1" thickBot="1">
      <c r="A30" s="561"/>
      <c r="B30" s="296"/>
      <c r="C30" s="297" t="s">
        <v>25</v>
      </c>
      <c r="D30" s="298"/>
      <c r="E30" s="299"/>
      <c r="F30" s="300"/>
      <c r="G30" s="300"/>
      <c r="H30" s="300"/>
      <c r="I30" s="301"/>
      <c r="J30" s="302"/>
      <c r="K30" s="300"/>
      <c r="L30" s="300"/>
      <c r="M30" s="300"/>
      <c r="N30" s="301"/>
      <c r="O30" s="302"/>
      <c r="P30" s="300"/>
      <c r="Q30" s="300"/>
      <c r="R30" s="300"/>
      <c r="S30" s="301"/>
      <c r="T30" s="302"/>
      <c r="U30" s="303"/>
      <c r="V30" s="300"/>
      <c r="W30" s="300"/>
      <c r="X30" s="300"/>
      <c r="Y30" s="304"/>
      <c r="Z30" s="302"/>
      <c r="AA30" s="300"/>
      <c r="AB30" s="300"/>
      <c r="AC30" s="300"/>
      <c r="AD30" s="301"/>
      <c r="AE30" s="302"/>
      <c r="AF30" s="300"/>
      <c r="AG30" s="300"/>
      <c r="AH30" s="305"/>
    </row>
    <row r="31" spans="1:45" ht="18" customHeight="1">
      <c r="A31" s="560" t="s">
        <v>119</v>
      </c>
      <c r="B31" s="284"/>
      <c r="C31" s="285" t="s">
        <v>24</v>
      </c>
      <c r="D31" s="286"/>
      <c r="E31" s="287"/>
      <c r="F31" s="288"/>
      <c r="G31" s="288"/>
      <c r="H31" s="288"/>
      <c r="I31" s="289"/>
      <c r="J31" s="290"/>
      <c r="K31" s="288"/>
      <c r="L31" s="288"/>
      <c r="M31" s="288"/>
      <c r="N31" s="289"/>
      <c r="O31" s="290"/>
      <c r="P31" s="288"/>
      <c r="Q31" s="288"/>
      <c r="R31" s="288"/>
      <c r="S31" s="289"/>
      <c r="T31" s="290"/>
      <c r="U31" s="291"/>
      <c r="V31" s="288"/>
      <c r="W31" s="288"/>
      <c r="X31" s="288"/>
      <c r="Y31" s="292"/>
      <c r="Z31" s="290"/>
      <c r="AA31" s="288"/>
      <c r="AB31" s="288"/>
      <c r="AC31" s="288"/>
      <c r="AD31" s="289"/>
      <c r="AE31" s="290"/>
      <c r="AF31" s="288"/>
      <c r="AG31" s="288"/>
      <c r="AH31" s="293"/>
    </row>
    <row r="32" spans="1:45" ht="18" customHeight="1" thickBot="1">
      <c r="A32" s="561"/>
      <c r="B32" s="296"/>
      <c r="C32" s="306" t="s">
        <v>25</v>
      </c>
      <c r="D32" s="205"/>
      <c r="E32" s="307"/>
      <c r="F32" s="308"/>
      <c r="G32" s="308"/>
      <c r="H32" s="308"/>
      <c r="I32" s="309"/>
      <c r="J32" s="310"/>
      <c r="K32" s="308"/>
      <c r="L32" s="308"/>
      <c r="M32" s="308"/>
      <c r="N32" s="309"/>
      <c r="O32" s="310"/>
      <c r="P32" s="308"/>
      <c r="Q32" s="308"/>
      <c r="R32" s="308"/>
      <c r="S32" s="309"/>
      <c r="T32" s="310"/>
      <c r="U32" s="311"/>
      <c r="V32" s="308"/>
      <c r="W32" s="308"/>
      <c r="X32" s="308"/>
      <c r="Y32" s="312"/>
      <c r="Z32" s="310"/>
      <c r="AA32" s="308"/>
      <c r="AB32" s="308"/>
      <c r="AC32" s="308"/>
      <c r="AD32" s="309"/>
      <c r="AE32" s="310"/>
      <c r="AF32" s="308"/>
      <c r="AG32" s="308"/>
      <c r="AH32" s="313"/>
    </row>
    <row r="33" spans="1:34" ht="16.5" customHeight="1">
      <c r="A33" s="314"/>
      <c r="B33" s="562"/>
      <c r="C33" s="315"/>
      <c r="D33" s="286"/>
      <c r="E33" s="286"/>
      <c r="F33" s="286"/>
      <c r="G33" s="286"/>
      <c r="H33" s="316"/>
      <c r="I33" s="540" t="s">
        <v>117</v>
      </c>
      <c r="J33" s="541"/>
      <c r="K33" s="541"/>
      <c r="L33" s="541"/>
      <c r="M33" s="542"/>
      <c r="N33" s="540" t="s">
        <v>118</v>
      </c>
      <c r="O33" s="541"/>
      <c r="P33" s="541"/>
      <c r="Q33" s="541"/>
      <c r="R33" s="542"/>
      <c r="S33" s="540" t="s">
        <v>119</v>
      </c>
      <c r="T33" s="541"/>
      <c r="U33" s="541"/>
      <c r="V33" s="541"/>
      <c r="W33" s="541"/>
      <c r="X33" s="542"/>
      <c r="Y33" s="540" t="s">
        <v>32</v>
      </c>
      <c r="Z33" s="541"/>
      <c r="AA33" s="541"/>
      <c r="AB33" s="541"/>
      <c r="AC33" s="542"/>
      <c r="AD33" s="540" t="s">
        <v>1</v>
      </c>
      <c r="AE33" s="541"/>
      <c r="AF33" s="541"/>
      <c r="AG33" s="541"/>
      <c r="AH33" s="543"/>
    </row>
    <row r="34" spans="1:34" ht="18" customHeight="1" thickBot="1">
      <c r="A34" s="317"/>
      <c r="B34" s="563"/>
      <c r="C34" s="550" t="s">
        <v>120</v>
      </c>
      <c r="D34" s="551"/>
      <c r="E34" s="551"/>
      <c r="F34" s="551"/>
      <c r="G34" s="551"/>
      <c r="H34" s="552"/>
      <c r="I34" s="529"/>
      <c r="J34" s="530"/>
      <c r="K34" s="318" t="s">
        <v>26</v>
      </c>
      <c r="L34" s="530"/>
      <c r="M34" s="553"/>
      <c r="N34" s="529"/>
      <c r="O34" s="530"/>
      <c r="P34" s="318" t="s">
        <v>26</v>
      </c>
      <c r="Q34" s="530"/>
      <c r="R34" s="553"/>
      <c r="S34" s="529"/>
      <c r="T34" s="530"/>
      <c r="U34" s="319"/>
      <c r="V34" s="318" t="s">
        <v>26</v>
      </c>
      <c r="W34" s="530"/>
      <c r="X34" s="553"/>
      <c r="Y34" s="529"/>
      <c r="Z34" s="530"/>
      <c r="AA34" s="318" t="s">
        <v>26</v>
      </c>
      <c r="AB34" s="530"/>
      <c r="AC34" s="553"/>
      <c r="AD34" s="529"/>
      <c r="AE34" s="530"/>
      <c r="AF34" s="318" t="s">
        <v>26</v>
      </c>
      <c r="AG34" s="530"/>
      <c r="AH34" s="531"/>
    </row>
    <row r="35" spans="1:34" ht="19.5" customHeight="1">
      <c r="A35" s="317"/>
      <c r="B35" s="563"/>
      <c r="C35" s="532" t="s">
        <v>121</v>
      </c>
      <c r="D35" s="532"/>
      <c r="E35" s="532"/>
      <c r="F35" s="532"/>
      <c r="G35" s="532"/>
      <c r="H35" s="532"/>
      <c r="I35" s="534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6"/>
      <c r="Y35" s="540" t="s">
        <v>2</v>
      </c>
      <c r="Z35" s="541"/>
      <c r="AA35" s="541"/>
      <c r="AB35" s="541"/>
      <c r="AC35" s="542"/>
      <c r="AD35" s="540" t="s">
        <v>122</v>
      </c>
      <c r="AE35" s="541"/>
      <c r="AF35" s="541"/>
      <c r="AG35" s="541"/>
      <c r="AH35" s="543"/>
    </row>
    <row r="36" spans="1:34" ht="19.5" customHeight="1" thickBot="1">
      <c r="A36" s="320"/>
      <c r="B36" s="563"/>
      <c r="C36" s="533"/>
      <c r="D36" s="533"/>
      <c r="E36" s="533"/>
      <c r="F36" s="533"/>
      <c r="G36" s="533"/>
      <c r="H36" s="533"/>
      <c r="I36" s="537"/>
      <c r="J36" s="538"/>
      <c r="K36" s="538"/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8"/>
      <c r="X36" s="539"/>
      <c r="Y36" s="544"/>
      <c r="Z36" s="545"/>
      <c r="AA36" s="321" t="s">
        <v>26</v>
      </c>
      <c r="AB36" s="545"/>
      <c r="AC36" s="546"/>
      <c r="AD36" s="547"/>
      <c r="AE36" s="545"/>
      <c r="AF36" s="545"/>
      <c r="AG36" s="548" t="s">
        <v>96</v>
      </c>
      <c r="AH36" s="549"/>
    </row>
    <row r="37" spans="1:34" ht="18" customHeight="1" thickTop="1" thickBot="1">
      <c r="A37" s="526" t="s">
        <v>27</v>
      </c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7"/>
      <c r="AC37" s="527"/>
      <c r="AD37" s="527"/>
      <c r="AE37" s="527"/>
      <c r="AF37" s="527"/>
      <c r="AG37" s="527"/>
      <c r="AH37" s="528"/>
    </row>
    <row r="38" spans="1:34" ht="18" customHeight="1" thickBot="1">
      <c r="A38" s="322" t="s">
        <v>123</v>
      </c>
      <c r="B38" s="323"/>
      <c r="C38" s="323"/>
      <c r="D38" s="324"/>
      <c r="E38" s="323"/>
      <c r="F38" s="323"/>
      <c r="G38" s="325"/>
      <c r="H38" s="323"/>
      <c r="I38" s="323"/>
      <c r="J38" s="323"/>
      <c r="K38" s="323"/>
      <c r="L38" s="323"/>
      <c r="M38" s="323"/>
      <c r="N38" s="323"/>
      <c r="O38" s="323"/>
      <c r="P38" s="323"/>
      <c r="Q38" s="326"/>
      <c r="R38" s="327" t="s">
        <v>124</v>
      </c>
      <c r="S38" s="323"/>
      <c r="T38" s="323"/>
      <c r="U38" s="324"/>
      <c r="V38" s="323"/>
      <c r="W38" s="328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30"/>
    </row>
    <row r="39" spans="1:34" ht="18" customHeight="1" thickBot="1">
      <c r="A39" s="322" t="s">
        <v>97</v>
      </c>
      <c r="B39" s="323"/>
      <c r="C39" s="323"/>
      <c r="D39" s="324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6"/>
      <c r="R39" s="331" t="s">
        <v>125</v>
      </c>
      <c r="S39" s="323"/>
      <c r="T39" s="323"/>
      <c r="U39" s="324"/>
      <c r="V39" s="323"/>
      <c r="W39" s="332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33"/>
    </row>
    <row r="40" spans="1:34" ht="18" customHeight="1" thickBot="1">
      <c r="A40" s="334" t="s">
        <v>126</v>
      </c>
      <c r="B40" s="335"/>
      <c r="C40" s="335"/>
      <c r="D40" s="336"/>
      <c r="E40" s="335"/>
      <c r="F40" s="335"/>
      <c r="G40" s="335"/>
      <c r="H40" s="335"/>
      <c r="I40" s="335"/>
      <c r="J40" s="337" t="s">
        <v>127</v>
      </c>
      <c r="K40" s="338"/>
      <c r="L40" s="338"/>
      <c r="M40" s="338"/>
      <c r="N40" s="339"/>
      <c r="O40" s="335"/>
      <c r="P40" s="337" t="s">
        <v>128</v>
      </c>
      <c r="Q40" s="338"/>
      <c r="R40" s="338"/>
      <c r="S40" s="338"/>
      <c r="T40" s="339"/>
      <c r="U40" s="336"/>
      <c r="V40" s="335"/>
      <c r="W40" s="337" t="s">
        <v>129</v>
      </c>
      <c r="X40" s="338"/>
      <c r="Y40" s="338"/>
      <c r="Z40" s="338"/>
      <c r="AA40" s="338"/>
      <c r="AB40" s="339"/>
      <c r="AC40" s="335"/>
      <c r="AD40" s="337" t="s">
        <v>130</v>
      </c>
      <c r="AE40" s="338"/>
      <c r="AF40" s="338"/>
      <c r="AG40" s="339"/>
      <c r="AH40" s="340"/>
    </row>
    <row r="41" spans="1:34" ht="13.5" thickTop="1">
      <c r="A41" s="294"/>
      <c r="B41" s="294"/>
      <c r="C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</row>
    <row r="42" spans="1:34">
      <c r="A42" s="342" t="s">
        <v>131</v>
      </c>
      <c r="B42" s="294"/>
      <c r="C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</row>
    <row r="43" spans="1:34">
      <c r="A43" s="294"/>
      <c r="B43" s="294"/>
      <c r="C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</row>
    <row r="44" spans="1:34">
      <c r="A44" s="294"/>
      <c r="B44" s="294"/>
      <c r="C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</row>
    <row r="45" spans="1:34">
      <c r="A45" s="294"/>
      <c r="B45" s="294"/>
      <c r="C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</row>
    <row r="46" spans="1:34">
      <c r="A46" s="294"/>
      <c r="B46" s="294"/>
      <c r="C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</row>
    <row r="47" spans="1:34">
      <c r="A47" s="294"/>
      <c r="B47" s="294"/>
      <c r="C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</row>
    <row r="48" spans="1:34">
      <c r="A48" s="294"/>
      <c r="B48" s="294"/>
      <c r="C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</row>
    <row r="49" spans="1:34">
      <c r="A49" s="294"/>
      <c r="B49" s="294"/>
      <c r="C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</row>
    <row r="50" spans="1:34">
      <c r="A50" s="294"/>
      <c r="B50" s="294"/>
      <c r="C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</row>
    <row r="51" spans="1:34">
      <c r="A51" s="294"/>
      <c r="B51" s="294"/>
      <c r="C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</row>
    <row r="52" spans="1:34">
      <c r="A52" s="294"/>
      <c r="B52" s="294"/>
      <c r="C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</row>
    <row r="53" spans="1:34">
      <c r="A53" s="294"/>
      <c r="B53" s="294"/>
      <c r="C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</row>
    <row r="54" spans="1:34">
      <c r="A54" s="294"/>
      <c r="B54" s="294"/>
      <c r="C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</row>
    <row r="55" spans="1:34">
      <c r="A55" s="294"/>
      <c r="B55" s="294"/>
      <c r="C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</row>
    <row r="56" spans="1:34">
      <c r="A56" s="294"/>
      <c r="B56" s="294"/>
      <c r="C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</row>
    <row r="57" spans="1:34">
      <c r="A57" s="294"/>
      <c r="B57" s="294"/>
      <c r="C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</row>
    <row r="58" spans="1:34">
      <c r="A58" s="294"/>
      <c r="B58" s="294"/>
      <c r="C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</row>
    <row r="59" spans="1:34">
      <c r="A59" s="294"/>
      <c r="B59" s="294"/>
      <c r="C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</row>
    <row r="60" spans="1:34">
      <c r="A60" s="294"/>
      <c r="B60" s="294"/>
      <c r="C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</row>
    <row r="61" spans="1:34">
      <c r="A61" s="294"/>
      <c r="B61" s="294"/>
      <c r="C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</row>
    <row r="62" spans="1:34">
      <c r="A62" s="294"/>
      <c r="B62" s="294"/>
      <c r="C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</row>
    <row r="63" spans="1:34">
      <c r="A63" s="294"/>
      <c r="B63" s="294"/>
      <c r="C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</row>
    <row r="64" spans="1:34">
      <c r="A64" s="294"/>
      <c r="B64" s="294"/>
      <c r="C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</row>
    <row r="65" spans="1:34">
      <c r="A65" s="294"/>
      <c r="B65" s="294"/>
      <c r="C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</row>
    <row r="66" spans="1:34">
      <c r="A66" s="294"/>
      <c r="B66" s="294"/>
      <c r="C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</row>
    <row r="67" spans="1:34">
      <c r="A67" s="294"/>
      <c r="B67" s="294"/>
      <c r="C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</row>
    <row r="68" spans="1:34">
      <c r="A68" s="294"/>
      <c r="B68" s="294"/>
      <c r="C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</row>
    <row r="69" spans="1:34">
      <c r="A69" s="294"/>
      <c r="B69" s="294"/>
      <c r="C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</row>
    <row r="70" spans="1:34">
      <c r="A70" s="294"/>
      <c r="B70" s="294"/>
      <c r="C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</row>
    <row r="71" spans="1:34">
      <c r="A71" s="294"/>
      <c r="B71" s="294"/>
      <c r="C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</row>
    <row r="72" spans="1:34">
      <c r="A72" s="294"/>
      <c r="B72" s="294"/>
      <c r="C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</row>
    <row r="73" spans="1:34">
      <c r="A73" s="294"/>
      <c r="B73" s="294"/>
      <c r="C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</row>
    <row r="74" spans="1:34">
      <c r="A74" s="294"/>
      <c r="B74" s="294"/>
      <c r="C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</row>
    <row r="75" spans="1:34">
      <c r="A75" s="294"/>
      <c r="B75" s="294"/>
      <c r="C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</row>
    <row r="76" spans="1:34">
      <c r="A76" s="294"/>
      <c r="B76" s="294"/>
      <c r="C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</row>
    <row r="77" spans="1:34">
      <c r="A77" s="294"/>
      <c r="B77" s="294"/>
      <c r="C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</row>
    <row r="78" spans="1:34">
      <c r="A78" s="294"/>
      <c r="B78" s="294"/>
      <c r="C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</row>
    <row r="79" spans="1:34">
      <c r="A79" s="294"/>
      <c r="B79" s="294"/>
      <c r="C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</row>
    <row r="80" spans="1:34">
      <c r="A80" s="294"/>
      <c r="B80" s="294"/>
      <c r="C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</row>
    <row r="81" spans="1:34">
      <c r="A81" s="294"/>
      <c r="B81" s="294"/>
      <c r="C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</row>
    <row r="82" spans="1:34">
      <c r="A82" s="294"/>
      <c r="B82" s="294"/>
      <c r="C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</row>
    <row r="83" spans="1:34">
      <c r="A83" s="294"/>
      <c r="B83" s="294"/>
      <c r="C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</row>
    <row r="84" spans="1:34">
      <c r="A84" s="294"/>
      <c r="B84" s="294"/>
      <c r="C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</row>
    <row r="85" spans="1:34">
      <c r="A85" s="294"/>
      <c r="B85" s="294"/>
      <c r="C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</row>
    <row r="86" spans="1:34">
      <c r="A86" s="294"/>
      <c r="B86" s="294"/>
      <c r="C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</row>
    <row r="87" spans="1:34">
      <c r="A87" s="294"/>
      <c r="B87" s="294"/>
      <c r="C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</row>
    <row r="88" spans="1:34">
      <c r="A88" s="294"/>
      <c r="B88" s="294"/>
      <c r="C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</row>
    <row r="89" spans="1:34">
      <c r="A89" s="294"/>
      <c r="B89" s="294"/>
      <c r="C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</row>
    <row r="90" spans="1:34">
      <c r="A90" s="294"/>
      <c r="B90" s="294"/>
      <c r="C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</row>
    <row r="91" spans="1:34">
      <c r="A91" s="294"/>
      <c r="B91" s="294"/>
      <c r="C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</row>
    <row r="92" spans="1:34">
      <c r="A92" s="294"/>
      <c r="B92" s="294"/>
      <c r="C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</row>
    <row r="93" spans="1:34">
      <c r="A93" s="294"/>
      <c r="B93" s="294"/>
      <c r="C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</row>
    <row r="94" spans="1:34">
      <c r="A94" s="294"/>
      <c r="B94" s="294"/>
      <c r="C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</row>
    <row r="95" spans="1:34">
      <c r="A95" s="294"/>
      <c r="B95" s="294"/>
      <c r="C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</row>
    <row r="96" spans="1:34">
      <c r="A96" s="294"/>
      <c r="B96" s="294"/>
      <c r="C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</row>
    <row r="97" spans="1:34">
      <c r="A97" s="294"/>
      <c r="B97" s="294"/>
      <c r="C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</row>
    <row r="98" spans="1:34">
      <c r="A98" s="294"/>
      <c r="B98" s="294"/>
      <c r="C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</row>
    <row r="99" spans="1:34">
      <c r="A99" s="294"/>
      <c r="B99" s="294"/>
      <c r="C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</row>
    <row r="100" spans="1:34">
      <c r="A100" s="294"/>
      <c r="B100" s="294"/>
      <c r="C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</row>
    <row r="101" spans="1:34">
      <c r="A101" s="294"/>
      <c r="B101" s="294"/>
      <c r="C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</row>
    <row r="102" spans="1:34">
      <c r="A102" s="294"/>
      <c r="B102" s="294"/>
      <c r="C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</row>
    <row r="103" spans="1:34">
      <c r="A103" s="294"/>
      <c r="B103" s="294"/>
      <c r="C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</row>
    <row r="104" spans="1:34">
      <c r="A104" s="294"/>
      <c r="B104" s="294"/>
      <c r="C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</row>
    <row r="105" spans="1:34">
      <c r="A105" s="294"/>
      <c r="B105" s="294"/>
      <c r="C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</row>
    <row r="106" spans="1:34">
      <c r="A106" s="294"/>
      <c r="B106" s="294"/>
      <c r="C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</row>
    <row r="107" spans="1:34">
      <c r="A107" s="294"/>
      <c r="B107" s="294"/>
      <c r="C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</row>
    <row r="108" spans="1:34">
      <c r="A108" s="294"/>
      <c r="B108" s="294"/>
      <c r="C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</row>
    <row r="109" spans="1:34">
      <c r="A109" s="294"/>
      <c r="B109" s="294"/>
      <c r="C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</row>
    <row r="110" spans="1:34">
      <c r="A110" s="294"/>
      <c r="B110" s="294"/>
      <c r="C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</row>
    <row r="111" spans="1:34">
      <c r="A111" s="294"/>
      <c r="B111" s="294"/>
      <c r="C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</row>
    <row r="112" spans="1:34">
      <c r="A112" s="294"/>
      <c r="B112" s="294"/>
      <c r="C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</row>
    <row r="113" spans="1:34">
      <c r="A113" s="294"/>
      <c r="B113" s="294"/>
      <c r="C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</row>
    <row r="114" spans="1:34">
      <c r="A114" s="294"/>
      <c r="B114" s="294"/>
      <c r="C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</row>
    <row r="115" spans="1:34">
      <c r="A115" s="294"/>
      <c r="B115" s="294"/>
      <c r="C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</row>
    <row r="116" spans="1:34">
      <c r="A116" s="294"/>
      <c r="B116" s="294"/>
      <c r="C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</row>
    <row r="117" spans="1:34">
      <c r="A117" s="294"/>
      <c r="B117" s="294"/>
      <c r="C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</row>
    <row r="118" spans="1:34">
      <c r="A118" s="294"/>
      <c r="B118" s="294"/>
      <c r="C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</row>
    <row r="119" spans="1:34">
      <c r="A119" s="294"/>
      <c r="B119" s="294"/>
      <c r="C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</row>
    <row r="120" spans="1:34">
      <c r="A120" s="294"/>
      <c r="B120" s="294"/>
      <c r="C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</row>
    <row r="121" spans="1:34">
      <c r="A121" s="294"/>
      <c r="B121" s="294"/>
      <c r="C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</row>
    <row r="122" spans="1:34">
      <c r="A122" s="294"/>
      <c r="B122" s="294"/>
      <c r="C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</row>
    <row r="123" spans="1:34">
      <c r="A123" s="294"/>
      <c r="B123" s="294"/>
      <c r="C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V123" s="294"/>
      <c r="W123" s="294"/>
      <c r="X123" s="294"/>
      <c r="Y123" s="294"/>
      <c r="Z123" s="294"/>
      <c r="AA123" s="294"/>
      <c r="AB123" s="294"/>
      <c r="AC123" s="294"/>
      <c r="AD123" s="294"/>
      <c r="AE123" s="294"/>
      <c r="AF123" s="294"/>
      <c r="AG123" s="294"/>
      <c r="AH123" s="294"/>
    </row>
    <row r="124" spans="1:34">
      <c r="A124" s="294"/>
      <c r="B124" s="294"/>
      <c r="C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</row>
    <row r="125" spans="1:34">
      <c r="A125" s="294"/>
      <c r="B125" s="294"/>
      <c r="C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</row>
    <row r="126" spans="1:34">
      <c r="A126" s="294"/>
      <c r="B126" s="294"/>
      <c r="C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</row>
    <row r="127" spans="1:34">
      <c r="A127" s="294"/>
      <c r="B127" s="294"/>
      <c r="C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V127" s="294"/>
      <c r="W127" s="294"/>
      <c r="X127" s="294"/>
      <c r="Y127" s="294"/>
      <c r="Z127" s="294"/>
      <c r="AA127" s="294"/>
      <c r="AB127" s="294"/>
      <c r="AC127" s="294"/>
      <c r="AD127" s="294"/>
      <c r="AE127" s="294"/>
      <c r="AF127" s="294"/>
      <c r="AG127" s="294"/>
      <c r="AH127" s="294"/>
    </row>
    <row r="128" spans="1:34">
      <c r="A128" s="294"/>
      <c r="B128" s="294"/>
      <c r="C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V128" s="294"/>
      <c r="W128" s="294"/>
      <c r="X128" s="294"/>
      <c r="Y128" s="294"/>
      <c r="Z128" s="294"/>
      <c r="AA128" s="294"/>
      <c r="AB128" s="294"/>
      <c r="AC128" s="294"/>
      <c r="AD128" s="294"/>
      <c r="AE128" s="294"/>
      <c r="AF128" s="294"/>
      <c r="AG128" s="294"/>
      <c r="AH128" s="294"/>
    </row>
    <row r="129" spans="1:34">
      <c r="A129" s="294"/>
      <c r="B129" s="294"/>
      <c r="C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</row>
    <row r="130" spans="1:34">
      <c r="A130" s="294"/>
      <c r="B130" s="294"/>
      <c r="C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</row>
    <row r="131" spans="1:34">
      <c r="A131" s="294"/>
      <c r="B131" s="294"/>
      <c r="C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</row>
    <row r="132" spans="1:34">
      <c r="A132" s="294"/>
      <c r="B132" s="294"/>
      <c r="C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</row>
    <row r="133" spans="1:34">
      <c r="A133" s="294"/>
      <c r="B133" s="294"/>
      <c r="C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</row>
    <row r="134" spans="1:34">
      <c r="A134" s="294"/>
      <c r="B134" s="294"/>
      <c r="C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</row>
    <row r="135" spans="1:34">
      <c r="A135" s="294"/>
      <c r="B135" s="294"/>
      <c r="C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</row>
    <row r="136" spans="1:34">
      <c r="A136" s="294"/>
      <c r="B136" s="294"/>
      <c r="C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</row>
    <row r="137" spans="1:34">
      <c r="A137" s="294"/>
      <c r="B137" s="294"/>
      <c r="C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</row>
    <row r="138" spans="1:34">
      <c r="A138" s="294"/>
      <c r="B138" s="294"/>
      <c r="C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</row>
    <row r="139" spans="1:34">
      <c r="A139" s="294"/>
      <c r="B139" s="294"/>
      <c r="C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</row>
    <row r="140" spans="1:34">
      <c r="A140" s="294"/>
      <c r="B140" s="294"/>
      <c r="C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</row>
    <row r="141" spans="1:34">
      <c r="A141" s="294"/>
      <c r="B141" s="294"/>
      <c r="C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</row>
    <row r="142" spans="1:34">
      <c r="A142" s="294"/>
      <c r="B142" s="294"/>
      <c r="C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</row>
    <row r="143" spans="1:34">
      <c r="A143" s="294"/>
      <c r="B143" s="294"/>
      <c r="C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</row>
    <row r="144" spans="1:34">
      <c r="A144" s="294"/>
      <c r="B144" s="294"/>
      <c r="C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</row>
    <row r="145" spans="1:34">
      <c r="A145" s="294"/>
      <c r="B145" s="294"/>
      <c r="C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</row>
    <row r="146" spans="1:34">
      <c r="A146" s="294"/>
      <c r="B146" s="294"/>
      <c r="C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</row>
    <row r="147" spans="1:34">
      <c r="A147" s="294"/>
      <c r="B147" s="294"/>
      <c r="C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</row>
    <row r="148" spans="1:34">
      <c r="A148" s="294"/>
      <c r="B148" s="294"/>
      <c r="C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</row>
    <row r="149" spans="1:34">
      <c r="A149" s="294"/>
      <c r="B149" s="294"/>
      <c r="C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</row>
    <row r="150" spans="1:34">
      <c r="A150" s="294"/>
      <c r="B150" s="294"/>
      <c r="C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</row>
    <row r="151" spans="1:34">
      <c r="A151" s="294"/>
      <c r="B151" s="294"/>
      <c r="C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</row>
    <row r="152" spans="1:34">
      <c r="A152" s="294"/>
      <c r="B152" s="294"/>
      <c r="C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</row>
    <row r="153" spans="1:34">
      <c r="A153" s="294"/>
      <c r="B153" s="294"/>
      <c r="C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</row>
    <row r="154" spans="1:34">
      <c r="A154" s="294"/>
      <c r="B154" s="294"/>
      <c r="C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</row>
    <row r="155" spans="1:34">
      <c r="A155" s="294"/>
      <c r="B155" s="294"/>
      <c r="C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</row>
    <row r="156" spans="1:34">
      <c r="A156" s="294"/>
      <c r="B156" s="294"/>
      <c r="C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</row>
    <row r="157" spans="1:34">
      <c r="A157" s="294"/>
      <c r="B157" s="294"/>
      <c r="C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</row>
    <row r="158" spans="1:34">
      <c r="A158" s="294"/>
      <c r="B158" s="294"/>
      <c r="C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</row>
    <row r="159" spans="1:34">
      <c r="A159" s="294"/>
      <c r="B159" s="294"/>
      <c r="C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</row>
    <row r="160" spans="1:34">
      <c r="A160" s="294"/>
      <c r="B160" s="294"/>
      <c r="C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</row>
    <row r="161" spans="1:34">
      <c r="A161" s="294"/>
      <c r="B161" s="294"/>
      <c r="C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</row>
    <row r="162" spans="1:34">
      <c r="A162" s="294"/>
      <c r="B162" s="294"/>
      <c r="C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</row>
    <row r="163" spans="1:34">
      <c r="A163" s="294"/>
      <c r="B163" s="294"/>
      <c r="C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</row>
    <row r="164" spans="1:34">
      <c r="A164" s="294"/>
      <c r="B164" s="294"/>
      <c r="C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</row>
    <row r="165" spans="1:34">
      <c r="A165" s="294"/>
      <c r="B165" s="294"/>
      <c r="C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</row>
    <row r="166" spans="1:34">
      <c r="A166" s="294"/>
      <c r="B166" s="294"/>
      <c r="C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</row>
    <row r="167" spans="1:34">
      <c r="A167" s="294"/>
      <c r="B167" s="294"/>
      <c r="C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</row>
    <row r="168" spans="1:34">
      <c r="A168" s="294"/>
      <c r="B168" s="294"/>
      <c r="C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</row>
    <row r="169" spans="1:34">
      <c r="A169" s="294"/>
      <c r="B169" s="294"/>
      <c r="C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</row>
    <row r="170" spans="1:34">
      <c r="A170" s="294"/>
      <c r="B170" s="294"/>
      <c r="C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</row>
    <row r="171" spans="1:34">
      <c r="A171" s="294"/>
      <c r="B171" s="294"/>
      <c r="C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V171" s="294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</row>
    <row r="172" spans="1:34">
      <c r="A172" s="294"/>
      <c r="B172" s="294"/>
      <c r="C172" s="294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V172" s="294"/>
      <c r="W172" s="294"/>
      <c r="X172" s="294"/>
      <c r="Y172" s="294"/>
      <c r="Z172" s="294"/>
      <c r="AA172" s="294"/>
      <c r="AB172" s="294"/>
      <c r="AC172" s="294"/>
      <c r="AD172" s="294"/>
      <c r="AE172" s="294"/>
      <c r="AF172" s="294"/>
      <c r="AG172" s="294"/>
      <c r="AH172" s="294"/>
    </row>
    <row r="173" spans="1:34">
      <c r="A173" s="294"/>
      <c r="B173" s="294"/>
      <c r="C173" s="294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V173" s="294"/>
      <c r="W173" s="294"/>
      <c r="X173" s="294"/>
      <c r="Y173" s="294"/>
      <c r="Z173" s="294"/>
      <c r="AA173" s="294"/>
      <c r="AB173" s="294"/>
      <c r="AC173" s="294"/>
      <c r="AD173" s="294"/>
      <c r="AE173" s="294"/>
      <c r="AF173" s="294"/>
      <c r="AG173" s="294"/>
      <c r="AH173" s="294"/>
    </row>
    <row r="174" spans="1:34">
      <c r="A174" s="294"/>
      <c r="B174" s="294"/>
      <c r="C174" s="294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V174" s="294"/>
      <c r="W174" s="294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</row>
    <row r="175" spans="1:34">
      <c r="A175" s="294"/>
      <c r="B175" s="294"/>
      <c r="C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4"/>
      <c r="AF175" s="294"/>
      <c r="AG175" s="294"/>
      <c r="AH175" s="294"/>
    </row>
    <row r="176" spans="1:34">
      <c r="A176" s="294"/>
      <c r="B176" s="294"/>
      <c r="C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V176" s="294"/>
      <c r="W176" s="294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</row>
    <row r="177" spans="1:34">
      <c r="A177" s="294"/>
      <c r="B177" s="294"/>
      <c r="C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V177" s="294"/>
      <c r="W177" s="294"/>
      <c r="X177" s="294"/>
      <c r="Y177" s="294"/>
      <c r="Z177" s="294"/>
      <c r="AA177" s="294"/>
      <c r="AB177" s="294"/>
      <c r="AC177" s="294"/>
      <c r="AD177" s="294"/>
      <c r="AE177" s="294"/>
      <c r="AF177" s="294"/>
      <c r="AG177" s="294"/>
      <c r="AH177" s="294"/>
    </row>
    <row r="178" spans="1:34">
      <c r="A178" s="294"/>
      <c r="B178" s="294"/>
      <c r="C178" s="294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V178" s="294"/>
      <c r="W178" s="294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</row>
    <row r="179" spans="1:34">
      <c r="A179" s="294"/>
      <c r="B179" s="294"/>
      <c r="C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V179" s="294"/>
      <c r="W179" s="294"/>
      <c r="X179" s="294"/>
      <c r="Y179" s="294"/>
      <c r="Z179" s="294"/>
      <c r="AA179" s="294"/>
      <c r="AB179" s="294"/>
      <c r="AC179" s="294"/>
      <c r="AD179" s="294"/>
      <c r="AE179" s="294"/>
      <c r="AF179" s="294"/>
      <c r="AG179" s="294"/>
      <c r="AH179" s="294"/>
    </row>
    <row r="180" spans="1:34">
      <c r="A180" s="294"/>
      <c r="B180" s="294"/>
      <c r="C180" s="294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V180" s="294"/>
      <c r="W180" s="294"/>
      <c r="X180" s="294"/>
      <c r="Y180" s="294"/>
      <c r="Z180" s="294"/>
      <c r="AA180" s="294"/>
      <c r="AB180" s="294"/>
      <c r="AC180" s="294"/>
      <c r="AD180" s="294"/>
      <c r="AE180" s="294"/>
      <c r="AF180" s="294"/>
      <c r="AG180" s="294"/>
      <c r="AH180" s="294"/>
    </row>
  </sheetData>
  <sheetProtection selectLockedCells="1"/>
  <mergeCells count="79">
    <mergeCell ref="A1:AC1"/>
    <mergeCell ref="A2:AC2"/>
    <mergeCell ref="G3:AC3"/>
    <mergeCell ref="AM3:AM4"/>
    <mergeCell ref="AN3:AN4"/>
    <mergeCell ref="AO3:AO4"/>
    <mergeCell ref="AP3:AP4"/>
    <mergeCell ref="G4:AC4"/>
    <mergeCell ref="F5:Q5"/>
    <mergeCell ref="W5:AC5"/>
    <mergeCell ref="F6:Q6"/>
    <mergeCell ref="W6:AA6"/>
    <mergeCell ref="F7:Q7"/>
    <mergeCell ref="W7:Z7"/>
    <mergeCell ref="AD7:AH7"/>
    <mergeCell ref="F8:Q8"/>
    <mergeCell ref="W8:X8"/>
    <mergeCell ref="AD8:AE8"/>
    <mergeCell ref="F9:Q9"/>
    <mergeCell ref="W9:X9"/>
    <mergeCell ref="A10:N10"/>
    <mergeCell ref="R10:AE10"/>
    <mergeCell ref="A11:N11"/>
    <mergeCell ref="R11:AE11"/>
    <mergeCell ref="E14:N14"/>
    <mergeCell ref="V14:AE14"/>
    <mergeCell ref="E15:N15"/>
    <mergeCell ref="V15:AE15"/>
    <mergeCell ref="E16:N16"/>
    <mergeCell ref="V16:AE16"/>
    <mergeCell ref="E17:N17"/>
    <mergeCell ref="V17:AE17"/>
    <mergeCell ref="E18:N18"/>
    <mergeCell ref="V18:AE18"/>
    <mergeCell ref="E19:N19"/>
    <mergeCell ref="V19:AE19"/>
    <mergeCell ref="E20:N20"/>
    <mergeCell ref="V20:AE20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Platzierung</vt:lpstr>
      <vt:lpstr>Spielplan</vt:lpstr>
      <vt:lpstr>Kontrollbogen</vt:lpstr>
      <vt:lpstr>Spielbericht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2017-09-21T09:35:17Z</cp:lastPrinted>
  <dcterms:created xsi:type="dcterms:W3CDTF">2006-05-16T18:09:25Z</dcterms:created>
  <dcterms:modified xsi:type="dcterms:W3CDTF">2021-09-25T10:20:39Z</dcterms:modified>
  <cp:category>Faustball</cp:category>
</cp:coreProperties>
</file>